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все!$A$1:$L$189</definedName>
  </definedNames>
  <calcPr calcId="125725"/>
</workbook>
</file>

<file path=xl/calcChain.xml><?xml version="1.0" encoding="utf-8"?>
<calcChain xmlns="http://schemas.openxmlformats.org/spreadsheetml/2006/main">
  <c r="G185" i="1"/>
  <c r="I184"/>
  <c r="G184"/>
  <c r="L184"/>
  <c r="G174"/>
  <c r="I167"/>
  <c r="J157"/>
  <c r="L166"/>
  <c r="I160"/>
  <c r="I166" s="1"/>
  <c r="L156"/>
  <c r="L148"/>
  <c r="J149"/>
  <c r="I149"/>
  <c r="G149"/>
  <c r="J148"/>
  <c r="H139"/>
  <c r="G139"/>
  <c r="G131"/>
  <c r="G130"/>
  <c r="L120"/>
  <c r="L112"/>
  <c r="L95"/>
  <c r="L85"/>
  <c r="G67"/>
  <c r="G60"/>
  <c r="L67"/>
  <c r="J64"/>
  <c r="I64"/>
  <c r="H64"/>
  <c r="G64"/>
  <c r="L58"/>
  <c r="G59"/>
  <c r="I58"/>
  <c r="L48"/>
  <c r="L39"/>
  <c r="H40"/>
  <c r="L30"/>
  <c r="J22"/>
  <c r="J158" l="1"/>
  <c r="I158"/>
  <c r="H158"/>
  <c r="G158"/>
  <c r="L139" l="1"/>
  <c r="L130"/>
  <c r="L131" s="1"/>
  <c r="L77" l="1"/>
  <c r="G31" l="1"/>
  <c r="G32"/>
  <c r="G33"/>
  <c r="G34"/>
  <c r="G35"/>
  <c r="G36"/>
  <c r="J14"/>
  <c r="I14"/>
  <c r="H14"/>
  <c r="G14"/>
  <c r="L12" l="1"/>
  <c r="J177" l="1"/>
  <c r="J176"/>
  <c r="J175"/>
  <c r="I176"/>
  <c r="H176"/>
  <c r="H175"/>
  <c r="H178"/>
  <c r="G178"/>
  <c r="G176" l="1"/>
  <c r="J169"/>
  <c r="J168"/>
  <c r="I168"/>
  <c r="H168"/>
  <c r="G169"/>
  <c r="G168"/>
  <c r="J160"/>
  <c r="H160"/>
  <c r="G160"/>
  <c r="J151" l="1"/>
  <c r="I151"/>
  <c r="H151"/>
  <c r="H150"/>
  <c r="G151"/>
  <c r="J141"/>
  <c r="H143"/>
  <c r="H140"/>
  <c r="G140"/>
  <c r="J133"/>
  <c r="H133"/>
  <c r="G133"/>
  <c r="G132"/>
  <c r="J124"/>
  <c r="J123"/>
  <c r="J122"/>
  <c r="I122"/>
  <c r="G124"/>
  <c r="J115"/>
  <c r="I115"/>
  <c r="H115"/>
  <c r="G115"/>
  <c r="J104"/>
  <c r="J105"/>
  <c r="I105"/>
  <c r="H105"/>
  <c r="G105"/>
  <c r="J88"/>
  <c r="J86"/>
  <c r="I86"/>
  <c r="H89"/>
  <c r="J87"/>
  <c r="I87"/>
  <c r="H87"/>
  <c r="G87"/>
  <c r="G86"/>
  <c r="J69"/>
  <c r="J68"/>
  <c r="I68"/>
  <c r="I69"/>
  <c r="G68"/>
  <c r="J51" l="1"/>
  <c r="J50"/>
  <c r="I51"/>
  <c r="H52"/>
  <c r="H51"/>
  <c r="H49"/>
  <c r="G51"/>
  <c r="J43"/>
  <c r="G43"/>
  <c r="I33"/>
  <c r="H33"/>
  <c r="J32"/>
  <c r="H32"/>
  <c r="J26"/>
  <c r="J25"/>
  <c r="H25"/>
  <c r="I13" l="1"/>
  <c r="I15"/>
  <c r="H15"/>
  <c r="J16"/>
  <c r="G16"/>
  <c r="G6"/>
  <c r="I157" l="1"/>
  <c r="G157"/>
  <c r="H122"/>
  <c r="G122"/>
  <c r="G69"/>
  <c r="H69"/>
  <c r="I50"/>
  <c r="H50"/>
  <c r="G50"/>
  <c r="J31"/>
  <c r="I32"/>
  <c r="I31"/>
  <c r="I24"/>
  <c r="J146" l="1"/>
  <c r="L103"/>
  <c r="J47" l="1"/>
  <c r="F48"/>
  <c r="L22" l="1"/>
  <c r="G177" l="1"/>
  <c r="J172"/>
  <c r="I172"/>
  <c r="H172"/>
  <c r="G172"/>
  <c r="J153"/>
  <c r="I153"/>
  <c r="H153"/>
  <c r="G153"/>
  <c r="F156"/>
  <c r="J150"/>
  <c r="I150"/>
  <c r="G150"/>
  <c r="J143"/>
  <c r="I142"/>
  <c r="J142"/>
  <c r="H142"/>
  <c r="G142"/>
  <c r="I140"/>
  <c r="J132"/>
  <c r="I132"/>
  <c r="H132"/>
  <c r="G123"/>
  <c r="J117"/>
  <c r="I117"/>
  <c r="H117"/>
  <c r="G117"/>
  <c r="J83"/>
  <c r="I83"/>
  <c r="H83"/>
  <c r="G83"/>
  <c r="I106"/>
  <c r="H106"/>
  <c r="G106"/>
  <c r="J97"/>
  <c r="F112"/>
  <c r="F103"/>
  <c r="J106"/>
  <c r="J98"/>
  <c r="I98"/>
  <c r="H98"/>
  <c r="G98"/>
  <c r="J91"/>
  <c r="I91"/>
  <c r="H91"/>
  <c r="G91"/>
  <c r="F113" l="1"/>
  <c r="L113"/>
  <c r="J89"/>
  <c r="G88"/>
  <c r="F85"/>
  <c r="J73" l="1"/>
  <c r="I73"/>
  <c r="H73"/>
  <c r="G73"/>
  <c r="J63"/>
  <c r="I63"/>
  <c r="H63"/>
  <c r="G63"/>
  <c r="J62"/>
  <c r="I62"/>
  <c r="H62"/>
  <c r="G62"/>
  <c r="J54"/>
  <c r="I54"/>
  <c r="H54"/>
  <c r="G54"/>
  <c r="G47"/>
  <c r="I47"/>
  <c r="H47"/>
  <c r="H46"/>
  <c r="J33" l="1"/>
  <c r="J35"/>
  <c r="I35"/>
  <c r="H35"/>
  <c r="J34"/>
  <c r="I34"/>
  <c r="H34"/>
  <c r="H24"/>
  <c r="G24"/>
  <c r="L23"/>
  <c r="F12"/>
  <c r="J10"/>
  <c r="I10"/>
  <c r="H10"/>
  <c r="G10"/>
  <c r="J7" l="1"/>
  <c r="I7"/>
  <c r="H7"/>
  <c r="G7"/>
  <c r="J171" l="1"/>
  <c r="I171"/>
  <c r="H171"/>
  <c r="G171"/>
  <c r="J17" l="1"/>
  <c r="I17"/>
  <c r="H17"/>
  <c r="G17"/>
  <c r="J8"/>
  <c r="I8"/>
  <c r="H8"/>
  <c r="G8"/>
  <c r="J6"/>
  <c r="I6"/>
  <c r="H6"/>
  <c r="I175" l="1"/>
  <c r="G175"/>
  <c r="H157" l="1"/>
  <c r="J159"/>
  <c r="I159"/>
  <c r="H159"/>
  <c r="G159"/>
  <c r="J163"/>
  <c r="I163"/>
  <c r="H163"/>
  <c r="G163"/>
  <c r="J162"/>
  <c r="I162"/>
  <c r="H162"/>
  <c r="G162"/>
  <c r="G154"/>
  <c r="H154"/>
  <c r="I154"/>
  <c r="J154"/>
  <c r="I141"/>
  <c r="H141"/>
  <c r="G141"/>
  <c r="J140"/>
  <c r="I143"/>
  <c r="G143"/>
  <c r="I146"/>
  <c r="H146"/>
  <c r="G146"/>
  <c r="J145"/>
  <c r="I145"/>
  <c r="H145"/>
  <c r="G145"/>
  <c r="I133"/>
  <c r="J136"/>
  <c r="I136"/>
  <c r="H136"/>
  <c r="G136"/>
  <c r="J135"/>
  <c r="I135"/>
  <c r="H135"/>
  <c r="G135"/>
  <c r="I124"/>
  <c r="H124"/>
  <c r="I123"/>
  <c r="H123"/>
  <c r="J126"/>
  <c r="I126"/>
  <c r="H126"/>
  <c r="G126"/>
  <c r="J121"/>
  <c r="I121"/>
  <c r="H121"/>
  <c r="G121"/>
  <c r="J114"/>
  <c r="I114"/>
  <c r="H114"/>
  <c r="G114"/>
  <c r="I104"/>
  <c r="H104"/>
  <c r="G104"/>
  <c r="I97"/>
  <c r="H97"/>
  <c r="G97"/>
  <c r="J100"/>
  <c r="I100"/>
  <c r="H100"/>
  <c r="G100"/>
  <c r="J101"/>
  <c r="I101"/>
  <c r="H101"/>
  <c r="G101"/>
  <c r="H86"/>
  <c r="I88"/>
  <c r="H88"/>
  <c r="I89"/>
  <c r="G89"/>
  <c r="J92"/>
  <c r="I92"/>
  <c r="H92"/>
  <c r="G92"/>
  <c r="G156" l="1"/>
  <c r="J156"/>
  <c r="H156"/>
  <c r="I156"/>
  <c r="H103"/>
  <c r="I103"/>
  <c r="J103"/>
  <c r="G103"/>
  <c r="J80"/>
  <c r="I80"/>
  <c r="H80"/>
  <c r="G80"/>
  <c r="J82"/>
  <c r="I82"/>
  <c r="H82"/>
  <c r="G82"/>
  <c r="H68"/>
  <c r="J71"/>
  <c r="I71"/>
  <c r="H71"/>
  <c r="G71"/>
  <c r="J108"/>
  <c r="I108"/>
  <c r="H108"/>
  <c r="G108"/>
  <c r="J70"/>
  <c r="I70"/>
  <c r="H70"/>
  <c r="G70"/>
  <c r="J60" l="1"/>
  <c r="I60"/>
  <c r="H60"/>
  <c r="J49"/>
  <c r="I49"/>
  <c r="G49"/>
  <c r="J55"/>
  <c r="I55"/>
  <c r="H55"/>
  <c r="G55"/>
  <c r="G58" s="1"/>
  <c r="J52"/>
  <c r="I52"/>
  <c r="G52"/>
  <c r="H31" l="1"/>
  <c r="I25" l="1"/>
  <c r="G25"/>
  <c r="J24"/>
  <c r="G27"/>
  <c r="H27"/>
  <c r="I27"/>
  <c r="J27"/>
  <c r="G28"/>
  <c r="H28"/>
  <c r="I28"/>
  <c r="J28"/>
  <c r="J9"/>
  <c r="J12" s="1"/>
  <c r="I9"/>
  <c r="I12" s="1"/>
  <c r="H9"/>
  <c r="H12" s="1"/>
  <c r="G9"/>
  <c r="G12" s="1"/>
  <c r="J13"/>
  <c r="H13"/>
  <c r="G13"/>
  <c r="J15"/>
  <c r="G15"/>
  <c r="I16"/>
  <c r="H16"/>
  <c r="J18"/>
  <c r="I18"/>
  <c r="H18"/>
  <c r="G18"/>
  <c r="J19"/>
  <c r="I19"/>
  <c r="H19"/>
  <c r="G19"/>
  <c r="G22" l="1"/>
  <c r="F184"/>
  <c r="J181"/>
  <c r="I181"/>
  <c r="H181"/>
  <c r="G181"/>
  <c r="J180"/>
  <c r="I180"/>
  <c r="H180"/>
  <c r="G180"/>
  <c r="J178"/>
  <c r="I178"/>
  <c r="I177"/>
  <c r="H177"/>
  <c r="H184" s="1"/>
  <c r="L174"/>
  <c r="F174"/>
  <c r="J174"/>
  <c r="I169"/>
  <c r="H169"/>
  <c r="I174"/>
  <c r="H174"/>
  <c r="L167"/>
  <c r="F166"/>
  <c r="F167" s="1"/>
  <c r="G166"/>
  <c r="B149"/>
  <c r="A149"/>
  <c r="F148"/>
  <c r="I148"/>
  <c r="G148"/>
  <c r="H148"/>
  <c r="H149" s="1"/>
  <c r="B140"/>
  <c r="A140"/>
  <c r="F139"/>
  <c r="B131"/>
  <c r="A131"/>
  <c r="F130"/>
  <c r="J127"/>
  <c r="J130" s="1"/>
  <c r="I127"/>
  <c r="I130" s="1"/>
  <c r="H127"/>
  <c r="H130" s="1"/>
  <c r="G127"/>
  <c r="B121"/>
  <c r="A121"/>
  <c r="F120"/>
  <c r="J120"/>
  <c r="I120"/>
  <c r="H120"/>
  <c r="G120"/>
  <c r="B113"/>
  <c r="A113"/>
  <c r="J110"/>
  <c r="I110"/>
  <c r="H110"/>
  <c r="G110"/>
  <c r="J107"/>
  <c r="I107"/>
  <c r="H107"/>
  <c r="G107"/>
  <c r="G112" s="1"/>
  <c r="G113" s="1"/>
  <c r="B104"/>
  <c r="A104"/>
  <c r="B96"/>
  <c r="A96"/>
  <c r="F95"/>
  <c r="H95"/>
  <c r="J95"/>
  <c r="G95"/>
  <c r="B86"/>
  <c r="A86"/>
  <c r="J85"/>
  <c r="I85"/>
  <c r="H85"/>
  <c r="G85"/>
  <c r="B78"/>
  <c r="A78"/>
  <c r="F77"/>
  <c r="J74"/>
  <c r="I74"/>
  <c r="H74"/>
  <c r="G74"/>
  <c r="B68"/>
  <c r="A68"/>
  <c r="F67"/>
  <c r="J67"/>
  <c r="I67"/>
  <c r="H67"/>
  <c r="B59"/>
  <c r="A59"/>
  <c r="F58"/>
  <c r="B49"/>
  <c r="A49"/>
  <c r="J46"/>
  <c r="I46"/>
  <c r="G46"/>
  <c r="J45"/>
  <c r="I45"/>
  <c r="H45"/>
  <c r="G45"/>
  <c r="I43"/>
  <c r="H43"/>
  <c r="J42"/>
  <c r="I42"/>
  <c r="I48" s="1"/>
  <c r="H42"/>
  <c r="H48" s="1"/>
  <c r="G42"/>
  <c r="F39"/>
  <c r="J36"/>
  <c r="J39" s="1"/>
  <c r="I36"/>
  <c r="H36"/>
  <c r="H39" s="1"/>
  <c r="G39"/>
  <c r="F30"/>
  <c r="J30"/>
  <c r="I30"/>
  <c r="H30"/>
  <c r="G30"/>
  <c r="B23"/>
  <c r="A23"/>
  <c r="F22"/>
  <c r="H22"/>
  <c r="I22"/>
  <c r="B13"/>
  <c r="A13"/>
  <c r="I185" l="1"/>
  <c r="I112"/>
  <c r="I113" s="1"/>
  <c r="G48"/>
  <c r="J112"/>
  <c r="J113" s="1"/>
  <c r="F185"/>
  <c r="L185"/>
  <c r="H112"/>
  <c r="H113" s="1"/>
  <c r="J184"/>
  <c r="J185" s="1"/>
  <c r="F131"/>
  <c r="I131"/>
  <c r="J48"/>
  <c r="G167"/>
  <c r="G96"/>
  <c r="F40"/>
  <c r="I39"/>
  <c r="I40" s="1"/>
  <c r="I139"/>
  <c r="H166"/>
  <c r="H167" s="1"/>
  <c r="J166"/>
  <c r="J167" s="1"/>
  <c r="H58"/>
  <c r="H59" s="1"/>
  <c r="J58"/>
  <c r="J139"/>
  <c r="F149"/>
  <c r="L149"/>
  <c r="J131"/>
  <c r="J23"/>
  <c r="F78"/>
  <c r="G77"/>
  <c r="G78" s="1"/>
  <c r="I77"/>
  <c r="I78" s="1"/>
  <c r="H131"/>
  <c r="H185"/>
  <c r="H77"/>
  <c r="H78" s="1"/>
  <c r="J77"/>
  <c r="J78" s="1"/>
  <c r="F59"/>
  <c r="L78"/>
  <c r="H96"/>
  <c r="L96"/>
  <c r="F96"/>
  <c r="I95"/>
  <c r="I96" s="1"/>
  <c r="J96"/>
  <c r="L59"/>
  <c r="L40"/>
  <c r="G40"/>
  <c r="J40"/>
  <c r="F23"/>
  <c r="H23"/>
  <c r="I23"/>
  <c r="I59" l="1"/>
  <c r="I186" s="1"/>
  <c r="J59"/>
  <c r="J186" s="1"/>
  <c r="F186"/>
  <c r="G23"/>
  <c r="G186" s="1"/>
  <c r="L186"/>
  <c r="H186"/>
</calcChain>
</file>

<file path=xl/sharedStrings.xml><?xml version="1.0" encoding="utf-8"?>
<sst xmlns="http://schemas.openxmlformats.org/spreadsheetml/2006/main" count="408" uniqueCount="161">
  <si>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</si>
  <si>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</si>
  <si>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</si>
  <si>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</si>
  <si>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</si>
  <si>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</si>
  <si>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</si>
  <si>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</si>
  <si>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</si>
  <si>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</si>
  <si>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</si>
  <si>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</si>
  <si>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</si>
  <si>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</si>
  <si>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</si>
  <si>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</si>
  <si>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</si>
  <si>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</si>
  <si>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</si>
  <si>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</si>
  <si>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</si>
  <si>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</si>
  <si>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</si>
  <si>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</si>
  <si>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</si>
  <si>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</si>
  <si>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</si>
  <si>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</si>
  <si>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</si>
  <si>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</si>
  <si>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</si>
  <si>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</si>
  <si>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</si>
  <si>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</si>
  <si>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</si>
  <si>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</si>
  <si>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</si>
  <si>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</si>
  <si>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</si>
  <si>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</si>
  <si>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</si>
  <si>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</si>
  <si>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</si>
  <si>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</si>
  <si>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</si>
  <si>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</si>
  <si>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</si>
  <si>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</si>
  <si>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</si>
  <si>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</si>
  <si>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</si>
  <si>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</si>
  <si>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</si>
  <si>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</si>
  <si>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</si>
  <si>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</si>
  <si>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</si>
  <si>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</si>
  <si>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</si>
  <si>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</si>
  <si>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</si>
  <si>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</si>
  <si>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</si>
  <si>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</si>
  <si>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</si>
  <si>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</si>
  <si>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</si>
  <si>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</si>
  <si>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</si>
  <si>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</si>
  <si>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</si>
  <si>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</si>
  <si>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</si>
  <si>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</si>
  <si>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</si>
  <si>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</si>
  <si>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</si>
  <si>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</si>
  <si>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</si>
  <si>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</si>
  <si>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</si>
  <si>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</si>
  <si>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</si>
  <si>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</si>
  <si>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Салат из отварной свеклы с растительным маслом</t>
  </si>
  <si>
    <t xml:space="preserve">хлеб 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</si>
  <si>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</si>
  <si>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</si>
  <si>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</si>
  <si>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</si>
  <si>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</si>
  <si>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</si>
  <si>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</si>
  <si>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</si>
  <si>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</si>
  <si>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</si>
  <si>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</si>
  <si>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</si>
  <si>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</si>
  <si>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</si>
  <si>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</si>
  <si>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</si>
  <si>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</si>
  <si>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</si>
  <si>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</si>
  <si>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</si>
  <si>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</si>
  <si>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</si>
  <si>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</si>
  <si>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</si>
  <si>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</si>
  <si>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</si>
  <si>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</si>
  <si>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</si>
  <si>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</si>
  <si>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</si>
  <si>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</si>
  <si>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</si>
  <si>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</si>
  <si>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</si>
  <si>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</si>
  <si>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</si>
  <si>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</si>
  <si>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</si>
  <si>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</si>
  <si>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</si>
  <si>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</si>
  <si>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</si>
  <si>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</si>
  <si>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</si>
  <si>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</si>
  <si>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</si>
  <si>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</si>
  <si>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</si>
  <si>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</si>
  <si>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</si>
  <si>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</si>
  <si>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</si>
  <si>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</si>
  <si>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</si>
  <si>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</si>
  <si>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</si>
  <si>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</si>
  <si>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</si>
  <si>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</si>
  <si>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</si>
  <si>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</si>
  <si>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Салат из св капусты с огурцами и растительным маслом</t>
  </si>
  <si>
    <t>Салат из огурцов и помидоров с маслом растительным</t>
  </si>
  <si>
    <t>Суп из овощей со сметаной, мясом, зеленью</t>
  </si>
  <si>
    <t>Салат из свежей капусты с огурцами и растительным маслом</t>
  </si>
  <si>
    <t>Салат из огурцов, помидор с растительным маслом, зеленью</t>
  </si>
  <si>
    <t>Салат из белокачанной капусты с морковью и растительным маслом</t>
  </si>
  <si>
    <t>Рассольник с крупой,  сметаной, мясом и зеленью</t>
  </si>
  <si>
    <t>445</t>
  </si>
  <si>
    <t>Зеленый горошек конс. с растительным маслом</t>
  </si>
  <si>
    <t>Щи с капустой, картофелем, сметаной, мясом и зеленью</t>
  </si>
  <si>
    <t>Суп картофельный с макаронными изделиями, мясом, зеленью</t>
  </si>
  <si>
    <t>Суп крестьянский с крупой, сметаной, мясом и зеленью</t>
  </si>
  <si>
    <t>01</t>
  </si>
  <si>
    <t>МБОУ "СОШ № 3" п.Арамиль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</si>
</sst>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2" fontId="11" fillId="0" borderId="26" xfId="1" applyNumberFormat="1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2" fontId="8" fillId="3" borderId="1" xfId="2" applyNumberFormat="1" applyFont="1" applyFill="1" applyBorder="1" applyAlignment="1">
      <alignment horizontal="left" vertical="center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2" fontId="6" fillId="0" borderId="26" xfId="1" applyNumberFormat="1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9" fillId="6" borderId="1" xfId="0" applyFont="1" applyFill="1" applyBorder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left" vertical="top" wrapText="1"/>
    </xf>
    <xf numFmtId="2" fontId="15" fillId="6" borderId="1" xfId="0" applyNumberFormat="1" applyFont="1" applyFill="1" applyBorder="1" applyAlignment="1">
      <alignment horizontal="left" vertical="top" wrapText="1"/>
    </xf>
    <xf numFmtId="49" fontId="15" fillId="6" borderId="22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/>
    <xf numFmtId="2" fontId="21" fillId="0" borderId="0" xfId="0" applyNumberFormat="1" applyFont="1" applyAlignment="1">
      <alignment horizontal="center" vertical="top"/>
    </xf>
    <xf numFmtId="2" fontId="22" fillId="0" borderId="4" xfId="0" applyNumberFormat="1" applyFont="1" applyBorder="1" applyAlignment="1">
      <alignment horizontal="center" vertical="center" wrapText="1"/>
    </xf>
    <xf numFmtId="2" fontId="16" fillId="3" borderId="0" xfId="0" applyNumberFormat="1" applyFont="1" applyFill="1"/>
    <xf numFmtId="2" fontId="16" fillId="3" borderId="0" xfId="0" applyNumberFormat="1" applyFont="1" applyFill="1" applyBorder="1"/>
    <xf numFmtId="2" fontId="7" fillId="3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Border="1"/>
    <xf numFmtId="2" fontId="16" fillId="0" borderId="0" xfId="0" applyNumberFormat="1" applyFont="1" applyAlignment="1">
      <alignment vertical="center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Border="1" applyAlignment="1">
      <alignment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vertical="center"/>
    </xf>
    <xf numFmtId="49" fontId="16" fillId="2" borderId="2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4"/>
  <sheetViews>
    <sheetView tabSelected="1" topLeftCell="A10" zoomScale="85" zoomScaleNormal="85" workbookViewId="0">
      <selection activeCell="U35" sqref="U35"/>
    </sheetView>
  </sheetViews>
  <sheetFormatPr defaultColWidth="4.7109375" defaultRowHeight="15"/>
  <cols>
    <col min="1" max="1" width="4.42578125" style="49" customWidth="1"/>
    <col min="2" max="2" width="6.140625" style="49" customWidth="1"/>
    <col min="3" max="3" width="8.85546875" style="48" customWidth="1"/>
    <col min="4" max="4" width="15.42578125" style="48" customWidth="1"/>
    <col min="5" max="5" width="30.140625" style="91" customWidth="1"/>
    <col min="6" max="6" width="13.42578125" style="109" customWidth="1"/>
    <col min="7" max="7" width="8.5703125" style="109" customWidth="1"/>
    <col min="8" max="8" width="11.140625" style="109" customWidth="1"/>
    <col min="9" max="9" width="9.85546875" style="109" customWidth="1"/>
    <col min="10" max="10" width="11.7109375" style="109" customWidth="1"/>
    <col min="11" max="11" width="8.7109375" style="81" customWidth="1"/>
    <col min="12" max="12" width="12.140625" style="116" customWidth="1"/>
    <col min="13" max="16384" width="4.7109375" style="49"/>
  </cols>
  <sheetData>
    <row r="1" spans="1:14" ht="15.75">
      <c r="A1" s="48" t="s">
        <v>0</v>
      </c>
      <c r="C1" s="132" t="s">
        <v>160</v>
      </c>
      <c r="D1" s="133"/>
      <c r="E1" s="133"/>
      <c r="F1" s="108" t="s">
        <v>1</v>
      </c>
      <c r="G1" s="109" t="s">
        <v>2</v>
      </c>
      <c r="H1" s="134" t="s">
        <v>88</v>
      </c>
      <c r="I1" s="135"/>
      <c r="J1" s="135"/>
      <c r="K1" s="136"/>
    </row>
    <row r="2" spans="1:14" ht="16.5">
      <c r="A2" s="140" t="s">
        <v>3</v>
      </c>
      <c r="B2" s="141"/>
      <c r="C2" s="141"/>
      <c r="D2" s="141"/>
      <c r="E2" s="141"/>
      <c r="F2" s="141"/>
      <c r="G2" s="109" t="s">
        <v>4</v>
      </c>
      <c r="H2" s="137" t="s">
        <v>89</v>
      </c>
      <c r="I2" s="137"/>
      <c r="J2" s="137"/>
      <c r="K2" s="137"/>
    </row>
    <row r="3" spans="1:14">
      <c r="A3" s="50" t="s">
        <v>5</v>
      </c>
      <c r="C3" s="49"/>
      <c r="D3" s="51"/>
      <c r="E3" s="90" t="s">
        <v>136</v>
      </c>
      <c r="G3" s="109" t="s">
        <v>6</v>
      </c>
      <c r="H3" s="130" t="s">
        <v>159</v>
      </c>
      <c r="I3" s="130" t="s">
        <v>159</v>
      </c>
      <c r="J3" s="131">
        <v>2026</v>
      </c>
      <c r="K3" s="80"/>
    </row>
    <row r="4" spans="1:14" ht="15.75" thickBot="1">
      <c r="C4" s="49"/>
      <c r="D4" s="50"/>
      <c r="H4" s="110" t="s">
        <v>7</v>
      </c>
      <c r="I4" s="110" t="s">
        <v>8</v>
      </c>
      <c r="J4" s="110" t="s">
        <v>9</v>
      </c>
    </row>
    <row r="5" spans="1:14" ht="158.25" thickBot="1">
      <c r="A5" s="52" t="s">
        <v>10</v>
      </c>
      <c r="B5" s="53" t="s">
        <v>11</v>
      </c>
      <c r="C5" s="54" t="s">
        <v>12</v>
      </c>
      <c r="D5" s="54" t="s">
        <v>13</v>
      </c>
      <c r="E5" s="92" t="s">
        <v>14</v>
      </c>
      <c r="F5" s="111" t="s">
        <v>15</v>
      </c>
      <c r="G5" s="111" t="s">
        <v>16</v>
      </c>
      <c r="H5" s="111" t="s">
        <v>138</v>
      </c>
      <c r="I5" s="111" t="s">
        <v>17</v>
      </c>
      <c r="J5" s="111" t="s">
        <v>18</v>
      </c>
      <c r="K5" s="55" t="s">
        <v>19</v>
      </c>
      <c r="L5" s="111" t="s">
        <v>20</v>
      </c>
    </row>
    <row r="6" spans="1:14" ht="31.5">
      <c r="A6" s="1">
        <v>1</v>
      </c>
      <c r="B6" s="2">
        <v>1</v>
      </c>
      <c r="C6" s="29" t="s">
        <v>21</v>
      </c>
      <c r="D6" s="30" t="s">
        <v>22</v>
      </c>
      <c r="E6" s="45" t="s">
        <v>59</v>
      </c>
      <c r="F6" s="11">
        <v>200</v>
      </c>
      <c r="G6" s="56">
        <f>F6*7.5/200</f>
        <v>7.5</v>
      </c>
      <c r="H6" s="56">
        <f>F6*11.4/200</f>
        <v>11.4</v>
      </c>
      <c r="I6" s="56">
        <f>31.3*F6/200</f>
        <v>31.3</v>
      </c>
      <c r="J6" s="56">
        <f>257.8*F6/200</f>
        <v>257.8</v>
      </c>
      <c r="K6" s="47" t="s">
        <v>94</v>
      </c>
      <c r="L6" s="117">
        <v>27.41</v>
      </c>
      <c r="M6" s="57"/>
    </row>
    <row r="7" spans="1:14" ht="15.75">
      <c r="A7" s="3"/>
      <c r="B7" s="4"/>
      <c r="C7" s="31"/>
      <c r="D7" s="33" t="s">
        <v>61</v>
      </c>
      <c r="E7" s="45" t="s">
        <v>79</v>
      </c>
      <c r="F7" s="12">
        <v>100</v>
      </c>
      <c r="G7" s="12">
        <f>F7*0.4/100</f>
        <v>0.4</v>
      </c>
      <c r="H7" s="12">
        <f>F7*0.4/100</f>
        <v>0.4</v>
      </c>
      <c r="I7" s="12">
        <f>F7*10.95/100</f>
        <v>10.95</v>
      </c>
      <c r="J7" s="12">
        <f>F7*49/100</f>
        <v>49</v>
      </c>
      <c r="K7" s="46" t="s">
        <v>26</v>
      </c>
      <c r="L7" s="118">
        <v>32.270000000000003</v>
      </c>
      <c r="M7" s="57"/>
    </row>
    <row r="8" spans="1:14" ht="31.5">
      <c r="A8" s="3"/>
      <c r="B8" s="4"/>
      <c r="C8" s="31"/>
      <c r="D8" s="32" t="s">
        <v>23</v>
      </c>
      <c r="E8" s="45" t="s">
        <v>24</v>
      </c>
      <c r="F8" s="11">
        <v>200</v>
      </c>
      <c r="G8" s="11">
        <f>3.1*F8/200</f>
        <v>3.1</v>
      </c>
      <c r="H8" s="11">
        <f>3.2*F8/200</f>
        <v>3.2</v>
      </c>
      <c r="I8" s="11">
        <f>14.4*F8/200</f>
        <v>14.4</v>
      </c>
      <c r="J8" s="11">
        <f>99*F8/200</f>
        <v>99</v>
      </c>
      <c r="K8" s="46" t="s">
        <v>60</v>
      </c>
      <c r="L8" s="118">
        <v>22.27</v>
      </c>
      <c r="M8" s="57"/>
    </row>
    <row r="9" spans="1:14" ht="15.75">
      <c r="A9" s="3"/>
      <c r="B9" s="4"/>
      <c r="C9" s="31"/>
      <c r="D9" s="32" t="s">
        <v>36</v>
      </c>
      <c r="E9" s="45" t="s">
        <v>27</v>
      </c>
      <c r="F9" s="11">
        <v>50</v>
      </c>
      <c r="G9" s="11">
        <f>F9*6.1/50</f>
        <v>6.1</v>
      </c>
      <c r="H9" s="11">
        <f>F9*3.7/50</f>
        <v>3.7</v>
      </c>
      <c r="I9" s="11">
        <f>F9*17.5/50</f>
        <v>17.5</v>
      </c>
      <c r="J9" s="11">
        <f>F9*127.7/50</f>
        <v>127.7</v>
      </c>
      <c r="K9" s="46" t="s">
        <v>95</v>
      </c>
      <c r="L9" s="118">
        <v>33.700000000000003</v>
      </c>
      <c r="M9" s="57"/>
    </row>
    <row r="10" spans="1:14" ht="15.75">
      <c r="A10" s="3"/>
      <c r="B10" s="4"/>
      <c r="C10" s="31"/>
      <c r="D10" s="32" t="s">
        <v>38</v>
      </c>
      <c r="E10" s="14" t="s">
        <v>133</v>
      </c>
      <c r="F10" s="12">
        <v>30</v>
      </c>
      <c r="G10" s="12">
        <f>1.68*F10/30</f>
        <v>1.68</v>
      </c>
      <c r="H10" s="12">
        <f>0.33*F10/30</f>
        <v>0.33</v>
      </c>
      <c r="I10" s="12">
        <f>14.82*F10/30</f>
        <v>14.82</v>
      </c>
      <c r="J10" s="12">
        <f>68.97*F10/30</f>
        <v>68.97</v>
      </c>
      <c r="K10" s="46" t="s">
        <v>26</v>
      </c>
      <c r="L10" s="118">
        <v>3.55</v>
      </c>
      <c r="M10" s="57"/>
    </row>
    <row r="11" spans="1:14" ht="15.75">
      <c r="A11" s="3"/>
      <c r="B11" s="4"/>
      <c r="C11" s="31"/>
      <c r="D11" s="33"/>
      <c r="E11" s="58"/>
      <c r="F11" s="65"/>
      <c r="G11" s="65"/>
      <c r="H11" s="65"/>
      <c r="I11" s="65"/>
      <c r="J11" s="65"/>
      <c r="K11" s="46"/>
      <c r="L11" s="118"/>
      <c r="M11" s="57"/>
    </row>
    <row r="12" spans="1:14" ht="15.75">
      <c r="A12" s="25"/>
      <c r="B12" s="26"/>
      <c r="C12" s="34"/>
      <c r="D12" s="35" t="s">
        <v>28</v>
      </c>
      <c r="E12" s="59"/>
      <c r="F12" s="60">
        <f>SUM(F6:F11)</f>
        <v>580</v>
      </c>
      <c r="G12" s="60">
        <f>SUM(G6:G11)</f>
        <v>18.78</v>
      </c>
      <c r="H12" s="60">
        <f>SUM(H6:H11)</f>
        <v>19.029999999999998</v>
      </c>
      <c r="I12" s="60">
        <f>SUM(I6:I11)</f>
        <v>88.97</v>
      </c>
      <c r="J12" s="60">
        <f>SUM(J6:J11)</f>
        <v>602.47</v>
      </c>
      <c r="K12" s="82"/>
      <c r="L12" s="107">
        <f>SUM(L6:L11)</f>
        <v>119.2</v>
      </c>
      <c r="M12" s="57"/>
    </row>
    <row r="13" spans="1:14" ht="31.5">
      <c r="A13" s="5">
        <f>A6</f>
        <v>1</v>
      </c>
      <c r="B13" s="6">
        <f>B6</f>
        <v>1</v>
      </c>
      <c r="C13" s="36" t="s">
        <v>29</v>
      </c>
      <c r="D13" s="32" t="s">
        <v>30</v>
      </c>
      <c r="E13" s="61" t="s">
        <v>144</v>
      </c>
      <c r="F13" s="12">
        <v>60</v>
      </c>
      <c r="G13" s="12">
        <f>F13*0.6/60</f>
        <v>0.6</v>
      </c>
      <c r="H13" s="12">
        <f>F13*6/60</f>
        <v>6</v>
      </c>
      <c r="I13" s="12">
        <f>F13*4.74/60</f>
        <v>4.74</v>
      </c>
      <c r="J13" s="12">
        <f>F13*75.44/60</f>
        <v>75.44</v>
      </c>
      <c r="K13" s="62" t="s">
        <v>80</v>
      </c>
      <c r="L13" s="118">
        <v>12.09</v>
      </c>
      <c r="M13" s="57"/>
    </row>
    <row r="14" spans="1:14" ht="31.5">
      <c r="A14" s="3"/>
      <c r="B14" s="4"/>
      <c r="C14" s="31"/>
      <c r="D14" s="32" t="s">
        <v>31</v>
      </c>
      <c r="E14" s="45" t="s">
        <v>145</v>
      </c>
      <c r="F14" s="11">
        <v>200</v>
      </c>
      <c r="G14" s="56">
        <f>F14*6.3/200</f>
        <v>6.3</v>
      </c>
      <c r="H14" s="56">
        <f>F14*6.2/200</f>
        <v>6.2</v>
      </c>
      <c r="I14" s="56">
        <f>F14*17.2/200</f>
        <v>17.2</v>
      </c>
      <c r="J14" s="56">
        <f>F14*150.6/200</f>
        <v>150.6</v>
      </c>
      <c r="K14" s="62" t="s">
        <v>81</v>
      </c>
      <c r="L14" s="118">
        <v>21.73</v>
      </c>
      <c r="M14" s="57"/>
    </row>
    <row r="15" spans="1:14" ht="15.75">
      <c r="A15" s="3"/>
      <c r="B15" s="4"/>
      <c r="C15" s="31"/>
      <c r="D15" s="32" t="s">
        <v>32</v>
      </c>
      <c r="E15" s="44" t="s">
        <v>49</v>
      </c>
      <c r="F15" s="12">
        <v>93</v>
      </c>
      <c r="G15" s="12">
        <f>F15*14.04/90</f>
        <v>14.508000000000001</v>
      </c>
      <c r="H15" s="12">
        <f>F15*17.46/90</f>
        <v>18.041999999999998</v>
      </c>
      <c r="I15" s="12">
        <f>F15*14.31/90</f>
        <v>14.787000000000003</v>
      </c>
      <c r="J15" s="12">
        <f>F15*270.86/90</f>
        <v>279.88866666666667</v>
      </c>
      <c r="K15" s="62" t="s">
        <v>50</v>
      </c>
      <c r="L15" s="118">
        <v>84.93</v>
      </c>
      <c r="M15" s="63"/>
      <c r="N15" s="63"/>
    </row>
    <row r="16" spans="1:14" ht="15.75">
      <c r="A16" s="3"/>
      <c r="B16" s="4"/>
      <c r="C16" s="31"/>
      <c r="D16" s="32" t="s">
        <v>33</v>
      </c>
      <c r="E16" s="45" t="s">
        <v>34</v>
      </c>
      <c r="F16" s="11">
        <v>150</v>
      </c>
      <c r="G16" s="12">
        <f>F16*5.33/150</f>
        <v>5.33</v>
      </c>
      <c r="H16" s="12">
        <f>F16*3/150</f>
        <v>3</v>
      </c>
      <c r="I16" s="12">
        <f>F16*32.4/150</f>
        <v>32.4</v>
      </c>
      <c r="J16" s="12">
        <f>F16*177.75/150</f>
        <v>177.75</v>
      </c>
      <c r="K16" s="62" t="s">
        <v>71</v>
      </c>
      <c r="L16" s="118">
        <v>9.99</v>
      </c>
      <c r="M16" s="57"/>
    </row>
    <row r="17" spans="1:13" ht="15.75">
      <c r="A17" s="3"/>
      <c r="B17" s="4"/>
      <c r="C17" s="31"/>
      <c r="D17" s="32" t="s">
        <v>91</v>
      </c>
      <c r="E17" s="45" t="s">
        <v>35</v>
      </c>
      <c r="F17" s="11">
        <v>200</v>
      </c>
      <c r="G17" s="56">
        <f>0.4*F17/200</f>
        <v>0.4</v>
      </c>
      <c r="H17" s="56">
        <f>0.2*F17/200</f>
        <v>0.2</v>
      </c>
      <c r="I17" s="56">
        <f>16.1*F17/200</f>
        <v>16.100000000000001</v>
      </c>
      <c r="J17" s="56">
        <f>68*F17/200</f>
        <v>68</v>
      </c>
      <c r="K17" s="62">
        <v>44206</v>
      </c>
      <c r="L17" s="118">
        <v>14.09</v>
      </c>
      <c r="M17" s="57"/>
    </row>
    <row r="18" spans="1:13" ht="31.5">
      <c r="A18" s="3"/>
      <c r="B18" s="4"/>
      <c r="C18" s="31"/>
      <c r="D18" s="32" t="s">
        <v>36</v>
      </c>
      <c r="E18" s="14" t="s">
        <v>37</v>
      </c>
      <c r="F18" s="12">
        <v>30</v>
      </c>
      <c r="G18" s="12">
        <f>SUM(F18*2.37/30)</f>
        <v>2.37</v>
      </c>
      <c r="H18" s="12">
        <f>SUM(F18*0.3/30)</f>
        <v>0.3</v>
      </c>
      <c r="I18" s="12">
        <f>SUM(F18*14.49/30)</f>
        <v>14.49</v>
      </c>
      <c r="J18" s="12">
        <f>SUM(F18*70.14/30)</f>
        <v>70.14</v>
      </c>
      <c r="K18" s="62" t="s">
        <v>26</v>
      </c>
      <c r="L18" s="118">
        <v>3.84</v>
      </c>
      <c r="M18" s="57"/>
    </row>
    <row r="19" spans="1:13" ht="15.75">
      <c r="A19" s="3"/>
      <c r="B19" s="4"/>
      <c r="C19" s="31"/>
      <c r="D19" s="32" t="s">
        <v>38</v>
      </c>
      <c r="E19" s="45" t="s">
        <v>133</v>
      </c>
      <c r="F19" s="12">
        <v>34</v>
      </c>
      <c r="G19" s="12">
        <f>SUM(F19*1.68/30)</f>
        <v>1.9039999999999999</v>
      </c>
      <c r="H19" s="12">
        <f>SUM(F19*0.33/30)</f>
        <v>0.374</v>
      </c>
      <c r="I19" s="12">
        <f>SUM(F19*14.82/30)</f>
        <v>16.795999999999999</v>
      </c>
      <c r="J19" s="12">
        <f>SUM(F19*68.97/30)</f>
        <v>78.165999999999997</v>
      </c>
      <c r="K19" s="62" t="s">
        <v>40</v>
      </c>
      <c r="L19" s="118">
        <v>4.03</v>
      </c>
      <c r="M19" s="57"/>
    </row>
    <row r="20" spans="1:13" ht="15.75">
      <c r="A20" s="3"/>
      <c r="B20" s="4"/>
      <c r="C20" s="31"/>
      <c r="D20" s="33"/>
      <c r="E20" s="58"/>
      <c r="F20" s="65"/>
      <c r="G20" s="65"/>
      <c r="H20" s="65"/>
      <c r="I20" s="65"/>
      <c r="J20" s="65"/>
      <c r="K20" s="46"/>
      <c r="L20" s="118"/>
      <c r="M20" s="57"/>
    </row>
    <row r="21" spans="1:13" ht="15.75">
      <c r="A21" s="3"/>
      <c r="B21" s="4"/>
      <c r="C21" s="31"/>
      <c r="D21" s="33"/>
      <c r="E21" s="58"/>
      <c r="F21" s="65"/>
      <c r="G21" s="65"/>
      <c r="H21" s="65"/>
      <c r="I21" s="65"/>
      <c r="J21" s="65"/>
      <c r="K21" s="46"/>
      <c r="L21" s="118"/>
      <c r="M21" s="57"/>
    </row>
    <row r="22" spans="1:13" ht="15.75">
      <c r="A22" s="25"/>
      <c r="B22" s="26"/>
      <c r="C22" s="34"/>
      <c r="D22" s="35" t="s">
        <v>28</v>
      </c>
      <c r="E22" s="59"/>
      <c r="F22" s="60">
        <f>SUM(F13:F21)</f>
        <v>767</v>
      </c>
      <c r="G22" s="60">
        <f>SUM(G13:G21)</f>
        <v>31.411999999999999</v>
      </c>
      <c r="H22" s="60">
        <f t="shared" ref="H22:I22" si="0">SUM(H13:H21)</f>
        <v>34.116</v>
      </c>
      <c r="I22" s="60">
        <f t="shared" si="0"/>
        <v>116.51300000000001</v>
      </c>
      <c r="J22" s="60">
        <f>SUM(J13:J21)+0.01</f>
        <v>899.99466666666672</v>
      </c>
      <c r="K22" s="82"/>
      <c r="L22" s="107">
        <f>L13+L14+L15+L16+L17+L18+L19+L20</f>
        <v>150.70000000000002</v>
      </c>
      <c r="M22" s="57"/>
    </row>
    <row r="23" spans="1:13" ht="16.5" thickBot="1">
      <c r="A23" s="27">
        <f>A6</f>
        <v>1</v>
      </c>
      <c r="B23" s="28">
        <f>B6</f>
        <v>1</v>
      </c>
      <c r="C23" s="138" t="s">
        <v>39</v>
      </c>
      <c r="D23" s="139"/>
      <c r="E23" s="64"/>
      <c r="F23" s="66">
        <f>F12+F22</f>
        <v>1347</v>
      </c>
      <c r="G23" s="66">
        <f t="shared" ref="G23:J23" si="1">G12+G22</f>
        <v>50.192</v>
      </c>
      <c r="H23" s="66">
        <f t="shared" si="1"/>
        <v>53.146000000000001</v>
      </c>
      <c r="I23" s="66">
        <f t="shared" si="1"/>
        <v>205.483</v>
      </c>
      <c r="J23" s="66">
        <f t="shared" si="1"/>
        <v>1502.4646666666667</v>
      </c>
      <c r="K23" s="83"/>
      <c r="L23" s="119">
        <f>L12+L22</f>
        <v>269.90000000000003</v>
      </c>
      <c r="M23" s="57"/>
    </row>
    <row r="24" spans="1:13" ht="15.75">
      <c r="A24" s="7">
        <v>1</v>
      </c>
      <c r="B24" s="4">
        <v>2</v>
      </c>
      <c r="C24" s="31" t="s">
        <v>21</v>
      </c>
      <c r="D24" s="32" t="s">
        <v>32</v>
      </c>
      <c r="E24" s="44" t="s">
        <v>83</v>
      </c>
      <c r="F24" s="12">
        <v>100</v>
      </c>
      <c r="G24" s="12">
        <f>F24*12.6/90</f>
        <v>14</v>
      </c>
      <c r="H24" s="12">
        <f>F24*13.5/90</f>
        <v>15</v>
      </c>
      <c r="I24" s="12">
        <f>F24*7.83/90</f>
        <v>8.6999999999999993</v>
      </c>
      <c r="J24" s="12">
        <f>F24*203.22/90</f>
        <v>225.8</v>
      </c>
      <c r="K24" s="13" t="s">
        <v>52</v>
      </c>
      <c r="L24" s="118">
        <v>86.87</v>
      </c>
      <c r="M24" s="57"/>
    </row>
    <row r="25" spans="1:13" ht="15.75">
      <c r="A25" s="7"/>
      <c r="B25" s="4"/>
      <c r="C25" s="31"/>
      <c r="D25" s="32" t="s">
        <v>33</v>
      </c>
      <c r="E25" s="44" t="s">
        <v>53</v>
      </c>
      <c r="F25" s="12">
        <v>150</v>
      </c>
      <c r="G25" s="12">
        <f>F25*3.17/150</f>
        <v>3.17</v>
      </c>
      <c r="H25" s="12">
        <f>F25*3.6/150</f>
        <v>3.6</v>
      </c>
      <c r="I25" s="12">
        <f>F25*20.4/150</f>
        <v>20.399999999999999</v>
      </c>
      <c r="J25" s="12">
        <f>F25*128/150</f>
        <v>128</v>
      </c>
      <c r="K25" s="13">
        <v>44258</v>
      </c>
      <c r="L25" s="118">
        <v>18.170000000000002</v>
      </c>
      <c r="M25" s="57"/>
    </row>
    <row r="26" spans="1:13" ht="15.75">
      <c r="A26" s="7"/>
      <c r="B26" s="4"/>
      <c r="C26" s="31"/>
      <c r="D26" s="32" t="s">
        <v>23</v>
      </c>
      <c r="E26" s="45" t="s">
        <v>45</v>
      </c>
      <c r="F26" s="12">
        <v>200</v>
      </c>
      <c r="G26" s="12">
        <v>1</v>
      </c>
      <c r="H26" s="12">
        <v>0.1</v>
      </c>
      <c r="I26" s="12">
        <v>19.8</v>
      </c>
      <c r="J26" s="12">
        <f>F26*84/200</f>
        <v>84</v>
      </c>
      <c r="K26" s="46" t="s">
        <v>76</v>
      </c>
      <c r="L26" s="118">
        <v>6.66</v>
      </c>
      <c r="M26" s="57"/>
    </row>
    <row r="27" spans="1:13" ht="31.5">
      <c r="A27" s="7"/>
      <c r="B27" s="4"/>
      <c r="C27" s="31"/>
      <c r="D27" s="32" t="s">
        <v>36</v>
      </c>
      <c r="E27" s="14" t="s">
        <v>37</v>
      </c>
      <c r="F27" s="12">
        <v>30</v>
      </c>
      <c r="G27" s="12">
        <f>SUM(F27*2.37/30)</f>
        <v>2.37</v>
      </c>
      <c r="H27" s="12">
        <f>SUM(F27*0.3/30)</f>
        <v>0.3</v>
      </c>
      <c r="I27" s="12">
        <f>SUM(F27*14.49/30)</f>
        <v>14.49</v>
      </c>
      <c r="J27" s="12">
        <f>SUM(F27*70.14/30)</f>
        <v>70.14</v>
      </c>
      <c r="K27" s="46" t="s">
        <v>26</v>
      </c>
      <c r="L27" s="118">
        <v>3.84</v>
      </c>
      <c r="M27" s="57"/>
    </row>
    <row r="28" spans="1:13" ht="15.75">
      <c r="A28" s="7"/>
      <c r="B28" s="4"/>
      <c r="C28" s="31"/>
      <c r="D28" s="32" t="s">
        <v>38</v>
      </c>
      <c r="E28" s="45" t="s">
        <v>133</v>
      </c>
      <c r="F28" s="12">
        <v>31</v>
      </c>
      <c r="G28" s="12">
        <f>SUM(F28*1.68/30)</f>
        <v>1.736</v>
      </c>
      <c r="H28" s="12">
        <f>SUM(F28*0.33/30)</f>
        <v>0.34100000000000003</v>
      </c>
      <c r="I28" s="12">
        <f>SUM(F28*14.82/30)</f>
        <v>15.314</v>
      </c>
      <c r="J28" s="12">
        <f>SUM(F28*68.97/30)</f>
        <v>71.269000000000005</v>
      </c>
      <c r="K28" s="46" t="s">
        <v>26</v>
      </c>
      <c r="L28" s="118">
        <v>3.67</v>
      </c>
      <c r="M28" s="57"/>
    </row>
    <row r="29" spans="1:13" ht="15.75">
      <c r="A29" s="7"/>
      <c r="B29" s="4"/>
      <c r="C29" s="31"/>
      <c r="D29" s="33"/>
      <c r="E29" s="58"/>
      <c r="F29" s="65"/>
      <c r="G29" s="65"/>
      <c r="H29" s="65"/>
      <c r="I29" s="65"/>
      <c r="J29" s="65"/>
      <c r="K29" s="46"/>
      <c r="L29" s="118"/>
      <c r="M29" s="57"/>
    </row>
    <row r="30" spans="1:13" ht="15.75">
      <c r="A30" s="37"/>
      <c r="B30" s="26"/>
      <c r="C30" s="34"/>
      <c r="D30" s="35" t="s">
        <v>28</v>
      </c>
      <c r="E30" s="59"/>
      <c r="F30" s="60">
        <f>SUM(F24:F29)</f>
        <v>511</v>
      </c>
      <c r="G30" s="60">
        <f>SUM(G24:G29)</f>
        <v>22.276000000000003</v>
      </c>
      <c r="H30" s="60">
        <f>SUM(H24:H29)</f>
        <v>19.341000000000005</v>
      </c>
      <c r="I30" s="60">
        <f>SUM(I24:I29)</f>
        <v>78.704000000000008</v>
      </c>
      <c r="J30" s="60">
        <f>SUM(J24:J29)</f>
        <v>579.20900000000006</v>
      </c>
      <c r="K30" s="82"/>
      <c r="L30" s="107">
        <f>SUM(L24:L29)-0.01</f>
        <v>119.2</v>
      </c>
      <c r="M30" s="57"/>
    </row>
    <row r="31" spans="1:13" ht="31.5">
      <c r="A31" s="6">
        <v>1</v>
      </c>
      <c r="B31" s="6">
        <v>2</v>
      </c>
      <c r="C31" s="36" t="s">
        <v>29</v>
      </c>
      <c r="D31" s="32" t="s">
        <v>30</v>
      </c>
      <c r="E31" s="45" t="s">
        <v>84</v>
      </c>
      <c r="F31" s="12">
        <v>70</v>
      </c>
      <c r="G31" s="12">
        <f>F31*0.84/60</f>
        <v>0.98</v>
      </c>
      <c r="H31" s="12">
        <f>F31*3.6/60</f>
        <v>4.2</v>
      </c>
      <c r="I31" s="12">
        <f>F31*4.08/60</f>
        <v>4.7600000000000007</v>
      </c>
      <c r="J31" s="12">
        <f>F31*52.2/60</f>
        <v>60.9</v>
      </c>
      <c r="K31" s="46" t="s">
        <v>55</v>
      </c>
      <c r="L31" s="118">
        <v>6.06</v>
      </c>
      <c r="M31" s="57"/>
    </row>
    <row r="32" spans="1:13" ht="31.5">
      <c r="A32" s="7"/>
      <c r="B32" s="4"/>
      <c r="C32" s="31"/>
      <c r="D32" s="32" t="s">
        <v>31</v>
      </c>
      <c r="E32" s="44" t="s">
        <v>149</v>
      </c>
      <c r="F32" s="12">
        <v>200</v>
      </c>
      <c r="G32" s="12">
        <f>F32*3.5/200</f>
        <v>3.5</v>
      </c>
      <c r="H32" s="12">
        <f>F32*7.22/200</f>
        <v>7.22</v>
      </c>
      <c r="I32" s="12">
        <f>F32*9.4/200</f>
        <v>9.4</v>
      </c>
      <c r="J32" s="12">
        <f>F32*116.8/200</f>
        <v>116.8</v>
      </c>
      <c r="K32" s="46" t="s">
        <v>142</v>
      </c>
      <c r="L32" s="118">
        <v>29.51</v>
      </c>
      <c r="M32" s="57"/>
    </row>
    <row r="33" spans="1:14" ht="15.75">
      <c r="A33" s="7"/>
      <c r="B33" s="4"/>
      <c r="C33" s="31"/>
      <c r="D33" s="32" t="s">
        <v>32</v>
      </c>
      <c r="E33" s="44" t="s">
        <v>56</v>
      </c>
      <c r="F33" s="12">
        <v>200</v>
      </c>
      <c r="G33" s="12">
        <f>F33*14.8/200</f>
        <v>14.8</v>
      </c>
      <c r="H33" s="12">
        <f>F33*16.51/200</f>
        <v>16.510000000000002</v>
      </c>
      <c r="I33" s="12">
        <f>F33*34.55/200</f>
        <v>34.549999999999997</v>
      </c>
      <c r="J33" s="12">
        <f>345.76*F33/200</f>
        <v>345.76</v>
      </c>
      <c r="K33" s="46">
        <v>44294</v>
      </c>
      <c r="L33" s="118">
        <v>99.31</v>
      </c>
      <c r="M33" s="57"/>
    </row>
    <row r="34" spans="1:14" ht="15.75">
      <c r="A34" s="7"/>
      <c r="B34" s="4"/>
      <c r="C34" s="31"/>
      <c r="D34" s="32" t="s">
        <v>91</v>
      </c>
      <c r="E34" s="44" t="s">
        <v>48</v>
      </c>
      <c r="F34" s="12">
        <v>200</v>
      </c>
      <c r="G34" s="12">
        <f>F34*H34/200</f>
        <v>0</v>
      </c>
      <c r="H34" s="12">
        <f>F34*0/200</f>
        <v>0</v>
      </c>
      <c r="I34" s="12">
        <f>F34*27.8/200</f>
        <v>27.8</v>
      </c>
      <c r="J34" s="12">
        <f>F34*111/200</f>
        <v>111</v>
      </c>
      <c r="K34" s="46">
        <v>948</v>
      </c>
      <c r="L34" s="118">
        <v>5.63</v>
      </c>
      <c r="M34" s="57"/>
    </row>
    <row r="35" spans="1:14" ht="31.5">
      <c r="A35" s="7"/>
      <c r="B35" s="4"/>
      <c r="C35" s="31"/>
      <c r="D35" s="32" t="s">
        <v>36</v>
      </c>
      <c r="E35" s="14" t="s">
        <v>37</v>
      </c>
      <c r="F35" s="12">
        <v>50</v>
      </c>
      <c r="G35" s="12">
        <f>SUM(F35*3.95/50)</f>
        <v>3.95</v>
      </c>
      <c r="H35" s="12">
        <f>SUM(F35*0.5/50)</f>
        <v>0.5</v>
      </c>
      <c r="I35" s="12">
        <f>SUM(F35*24.15/50)</f>
        <v>24.15</v>
      </c>
      <c r="J35" s="12">
        <f>SUM(F35*116.9/50)</f>
        <v>116.9</v>
      </c>
      <c r="K35" s="46" t="s">
        <v>26</v>
      </c>
      <c r="L35" s="118">
        <v>6.4</v>
      </c>
      <c r="M35" s="57"/>
      <c r="N35" s="49">
        <v>1</v>
      </c>
    </row>
    <row r="36" spans="1:14" ht="15.75">
      <c r="A36" s="7"/>
      <c r="B36" s="4"/>
      <c r="C36" s="31"/>
      <c r="D36" s="32" t="s">
        <v>38</v>
      </c>
      <c r="E36" s="14" t="s">
        <v>133</v>
      </c>
      <c r="F36" s="12">
        <v>32</v>
      </c>
      <c r="G36" s="12">
        <f>SUM(F36*1.68/30)</f>
        <v>1.792</v>
      </c>
      <c r="H36" s="12">
        <f>SUM(F36*0.33/30)</f>
        <v>0.35200000000000004</v>
      </c>
      <c r="I36" s="12">
        <f>SUM(F36*14.82/30)</f>
        <v>15.808</v>
      </c>
      <c r="J36" s="12">
        <f>SUM(F36*68.97/30)</f>
        <v>73.567999999999998</v>
      </c>
      <c r="K36" s="46" t="s">
        <v>26</v>
      </c>
      <c r="L36" s="118">
        <v>3.79</v>
      </c>
      <c r="M36" s="57"/>
    </row>
    <row r="37" spans="1:14" ht="15.75">
      <c r="A37" s="7"/>
      <c r="B37" s="4"/>
      <c r="C37" s="31"/>
      <c r="D37" s="33"/>
      <c r="E37" s="58"/>
      <c r="F37" s="65"/>
      <c r="G37" s="65"/>
      <c r="H37" s="65"/>
      <c r="I37" s="65"/>
      <c r="J37" s="65"/>
      <c r="K37" s="46"/>
      <c r="L37" s="118"/>
      <c r="M37" s="57"/>
    </row>
    <row r="38" spans="1:14" ht="15.75">
      <c r="A38" s="7"/>
      <c r="B38" s="4"/>
      <c r="C38" s="31"/>
      <c r="D38" s="33"/>
      <c r="E38" s="58"/>
      <c r="F38" s="65"/>
      <c r="G38" s="65"/>
      <c r="H38" s="65"/>
      <c r="I38" s="65"/>
      <c r="J38" s="65"/>
      <c r="K38" s="46"/>
      <c r="L38" s="118"/>
      <c r="M38" s="57"/>
    </row>
    <row r="39" spans="1:14" ht="15.75">
      <c r="A39" s="37"/>
      <c r="B39" s="26"/>
      <c r="C39" s="34"/>
      <c r="D39" s="35" t="s">
        <v>28</v>
      </c>
      <c r="E39" s="59"/>
      <c r="F39" s="60">
        <f>SUM(F31:F38)</f>
        <v>752</v>
      </c>
      <c r="G39" s="60">
        <f>SUM(G31:G38)</f>
        <v>25.022000000000002</v>
      </c>
      <c r="H39" s="60">
        <f>SUM(H31:H38)</f>
        <v>28.782</v>
      </c>
      <c r="I39" s="60">
        <f>SUM(I31:I38)</f>
        <v>116.46799999999999</v>
      </c>
      <c r="J39" s="60">
        <f>SUM(J31:J38)</f>
        <v>824.928</v>
      </c>
      <c r="K39" s="82"/>
      <c r="L39" s="107">
        <f>SUM(L31:L38)</f>
        <v>150.69999999999999</v>
      </c>
      <c r="M39" s="57"/>
    </row>
    <row r="40" spans="1:14" ht="16.5" thickBot="1">
      <c r="A40" s="38">
        <v>1</v>
      </c>
      <c r="B40" s="38">
        <v>2</v>
      </c>
      <c r="C40" s="138" t="s">
        <v>39</v>
      </c>
      <c r="D40" s="139"/>
      <c r="E40" s="64"/>
      <c r="F40" s="66">
        <f>F30+F39</f>
        <v>1263</v>
      </c>
      <c r="G40" s="66">
        <f>G30+G39</f>
        <v>47.298000000000002</v>
      </c>
      <c r="H40" s="66">
        <f>H30+H39+0.01</f>
        <v>48.133000000000003</v>
      </c>
      <c r="I40" s="66">
        <f>I30+I39</f>
        <v>195.172</v>
      </c>
      <c r="J40" s="66">
        <f>J30+J39</f>
        <v>1404.1370000000002</v>
      </c>
      <c r="K40" s="83"/>
      <c r="L40" s="119">
        <f>L30+L39</f>
        <v>269.89999999999998</v>
      </c>
      <c r="M40" s="57"/>
    </row>
    <row r="41" spans="1:14" ht="16.5" thickBot="1">
      <c r="A41" s="1">
        <v>1</v>
      </c>
      <c r="B41" s="2">
        <v>3</v>
      </c>
      <c r="C41" s="29" t="s">
        <v>21</v>
      </c>
      <c r="D41" s="30"/>
      <c r="E41" s="14"/>
      <c r="F41" s="12"/>
      <c r="G41" s="12"/>
      <c r="H41" s="12"/>
      <c r="I41" s="12"/>
      <c r="J41" s="12"/>
      <c r="K41" s="47"/>
      <c r="L41" s="117"/>
      <c r="M41" s="57"/>
    </row>
    <row r="42" spans="1:14" ht="31.5">
      <c r="A42" s="3"/>
      <c r="B42" s="4"/>
      <c r="C42" s="31"/>
      <c r="D42" s="30" t="s">
        <v>32</v>
      </c>
      <c r="E42" s="15" t="s">
        <v>44</v>
      </c>
      <c r="F42" s="12">
        <v>90</v>
      </c>
      <c r="G42" s="12">
        <f>F42*17.19/90</f>
        <v>17.190000000000001</v>
      </c>
      <c r="H42" s="12">
        <f>F42*14.31/90</f>
        <v>14.31</v>
      </c>
      <c r="I42" s="12">
        <f>F42*0.18/90</f>
        <v>0.18</v>
      </c>
      <c r="J42" s="12">
        <f>F42*198/90</f>
        <v>198</v>
      </c>
      <c r="K42" s="17">
        <v>4232</v>
      </c>
      <c r="L42" s="117">
        <v>64.599999999999994</v>
      </c>
      <c r="M42" s="57"/>
      <c r="N42" s="57"/>
    </row>
    <row r="43" spans="1:14" ht="15.75">
      <c r="A43" s="3"/>
      <c r="B43" s="4"/>
      <c r="C43" s="31"/>
      <c r="D43" s="33" t="s">
        <v>33</v>
      </c>
      <c r="E43" s="14" t="s">
        <v>34</v>
      </c>
      <c r="F43" s="11">
        <v>150</v>
      </c>
      <c r="G43" s="12">
        <f>F43*5.33/150</f>
        <v>5.33</v>
      </c>
      <c r="H43" s="12">
        <f>F43*3/150</f>
        <v>3</v>
      </c>
      <c r="I43" s="12">
        <f>F43*32.4/150</f>
        <v>32.4</v>
      </c>
      <c r="J43" s="12">
        <f>177.75*F43/150</f>
        <v>177.75</v>
      </c>
      <c r="K43" s="46">
        <v>46.3</v>
      </c>
      <c r="L43" s="118">
        <v>9.99</v>
      </c>
      <c r="M43" s="57"/>
      <c r="N43" s="57"/>
    </row>
    <row r="44" spans="1:14" ht="15.75">
      <c r="A44" s="3"/>
      <c r="B44" s="4"/>
      <c r="C44" s="31"/>
      <c r="D44" s="32" t="s">
        <v>23</v>
      </c>
      <c r="E44" s="14" t="s">
        <v>96</v>
      </c>
      <c r="F44" s="12">
        <v>200</v>
      </c>
      <c r="G44" s="12">
        <v>3.6</v>
      </c>
      <c r="H44" s="12">
        <v>3.3</v>
      </c>
      <c r="I44" s="12">
        <v>22.8</v>
      </c>
      <c r="J44" s="12">
        <v>135</v>
      </c>
      <c r="K44" s="13" t="s">
        <v>54</v>
      </c>
      <c r="L44" s="118">
        <v>22.56</v>
      </c>
      <c r="M44" s="57"/>
      <c r="N44" s="57"/>
    </row>
    <row r="45" spans="1:14" ht="31.5">
      <c r="A45" s="3"/>
      <c r="B45" s="4"/>
      <c r="C45" s="31"/>
      <c r="D45" s="32" t="s">
        <v>36</v>
      </c>
      <c r="E45" s="14" t="s">
        <v>37</v>
      </c>
      <c r="F45" s="12">
        <v>30</v>
      </c>
      <c r="G45" s="12">
        <f>SUM(F45*2.37/30)</f>
        <v>2.37</v>
      </c>
      <c r="H45" s="12">
        <f>SUM(F45*0.3/30)</f>
        <v>0.3</v>
      </c>
      <c r="I45" s="12">
        <f>SUM(F45*14.49/30)</f>
        <v>14.49</v>
      </c>
      <c r="J45" s="12">
        <f>SUM(F45*70.14/30)</f>
        <v>70.14</v>
      </c>
      <c r="K45" s="46" t="s">
        <v>26</v>
      </c>
      <c r="L45" s="118">
        <v>3.84</v>
      </c>
      <c r="M45" s="57"/>
      <c r="N45" s="57"/>
    </row>
    <row r="46" spans="1:14" ht="15.75">
      <c r="A46" s="3"/>
      <c r="B46" s="4"/>
      <c r="C46" s="31"/>
      <c r="D46" s="32" t="s">
        <v>38</v>
      </c>
      <c r="E46" s="14" t="s">
        <v>25</v>
      </c>
      <c r="F46" s="12">
        <v>35</v>
      </c>
      <c r="G46" s="12">
        <f>SUM(F46*1.68/30)</f>
        <v>1.96</v>
      </c>
      <c r="H46" s="12">
        <f>SUM(F46*0.33/30)</f>
        <v>0.38500000000000001</v>
      </c>
      <c r="I46" s="12">
        <f>SUM(F46*14.82/30)</f>
        <v>17.290000000000003</v>
      </c>
      <c r="J46" s="12">
        <f>SUM(F46*68.97/30)</f>
        <v>80.464999999999989</v>
      </c>
      <c r="K46" s="46" t="s">
        <v>26</v>
      </c>
      <c r="L46" s="118">
        <v>4.1399999999999997</v>
      </c>
      <c r="M46" s="57"/>
      <c r="N46" s="57"/>
    </row>
    <row r="47" spans="1:14" ht="47.25" customHeight="1">
      <c r="A47" s="3"/>
      <c r="B47" s="4"/>
      <c r="C47" s="31"/>
      <c r="D47" s="33"/>
      <c r="E47" s="67" t="s">
        <v>150</v>
      </c>
      <c r="F47" s="68">
        <v>65</v>
      </c>
      <c r="G47" s="68">
        <f>F47*2.5/100</f>
        <v>1.625</v>
      </c>
      <c r="H47" s="68">
        <f>F47*10/100</f>
        <v>6.5</v>
      </c>
      <c r="I47" s="68">
        <f>F47*7.08/100</f>
        <v>4.6020000000000003</v>
      </c>
      <c r="J47" s="68">
        <f>F47*128/100</f>
        <v>83.2</v>
      </c>
      <c r="K47" s="84">
        <v>44409</v>
      </c>
      <c r="L47" s="120">
        <v>14.07</v>
      </c>
      <c r="M47" s="57"/>
      <c r="N47" s="57"/>
    </row>
    <row r="48" spans="1:14" ht="15.75">
      <c r="A48" s="25"/>
      <c r="B48" s="26"/>
      <c r="C48" s="34"/>
      <c r="D48" s="35" t="s">
        <v>28</v>
      </c>
      <c r="E48" s="59"/>
      <c r="F48" s="60">
        <f>SUM(F41:F47)</f>
        <v>570</v>
      </c>
      <c r="G48" s="60">
        <f>SUM(G41:G47)-0.01</f>
        <v>32.065000000000005</v>
      </c>
      <c r="H48" s="60">
        <f t="shared" ref="H48" si="2">SUM(H41:H47)</f>
        <v>27.795000000000005</v>
      </c>
      <c r="I48" s="60">
        <f>SUM(I41:I47)</f>
        <v>91.762</v>
      </c>
      <c r="J48" s="60">
        <f t="shared" ref="J48" si="3">SUM(J41:J47)</f>
        <v>744.55500000000006</v>
      </c>
      <c r="K48" s="82"/>
      <c r="L48" s="107">
        <f>SUM(L41:L47)</f>
        <v>119.19999999999999</v>
      </c>
      <c r="M48" s="57"/>
    </row>
    <row r="49" spans="1:13" ht="47.25">
      <c r="A49" s="5">
        <f>A41</f>
        <v>1</v>
      </c>
      <c r="B49" s="6">
        <f>B41</f>
        <v>3</v>
      </c>
      <c r="C49" s="36" t="s">
        <v>29</v>
      </c>
      <c r="D49" s="32" t="s">
        <v>30</v>
      </c>
      <c r="E49" s="69" t="s">
        <v>97</v>
      </c>
      <c r="F49" s="56">
        <v>65</v>
      </c>
      <c r="G49" s="56">
        <f>F49*3.24/60</f>
        <v>3.5100000000000002</v>
      </c>
      <c r="H49" s="56">
        <f>F49*7.74/60</f>
        <v>8.3849999999999998</v>
      </c>
      <c r="I49" s="56">
        <f>F49*25.26/60</f>
        <v>27.365000000000002</v>
      </c>
      <c r="J49" s="56">
        <f>F49*183.84/60</f>
        <v>199.16</v>
      </c>
      <c r="K49" s="46" t="s">
        <v>98</v>
      </c>
      <c r="L49" s="118">
        <v>11.46</v>
      </c>
      <c r="M49" s="57"/>
    </row>
    <row r="50" spans="1:13" ht="32.25" thickBot="1">
      <c r="A50" s="3"/>
      <c r="B50" s="4"/>
      <c r="C50" s="31"/>
      <c r="D50" s="32" t="s">
        <v>31</v>
      </c>
      <c r="E50" s="44" t="s">
        <v>46</v>
      </c>
      <c r="F50" s="56">
        <v>200</v>
      </c>
      <c r="G50" s="56">
        <f>F50*2.22/200</f>
        <v>2.2200000000000002</v>
      </c>
      <c r="H50" s="56">
        <f>F50*3.84/200</f>
        <v>3.84</v>
      </c>
      <c r="I50" s="56">
        <f>F50*6.68/200</f>
        <v>6.68</v>
      </c>
      <c r="J50" s="56">
        <f>F50*70/200</f>
        <v>70</v>
      </c>
      <c r="K50" s="13" t="s">
        <v>99</v>
      </c>
      <c r="L50" s="118">
        <v>21.33</v>
      </c>
      <c r="M50" s="57"/>
    </row>
    <row r="51" spans="1:13" ht="31.5">
      <c r="A51" s="3"/>
      <c r="B51" s="4"/>
      <c r="C51" s="31"/>
      <c r="D51" s="32" t="s">
        <v>32</v>
      </c>
      <c r="E51" s="45" t="s">
        <v>92</v>
      </c>
      <c r="F51" s="12">
        <v>100</v>
      </c>
      <c r="G51" s="12">
        <f>F51*11.61/90</f>
        <v>12.9</v>
      </c>
      <c r="H51" s="12">
        <f>F51*12.06/90</f>
        <v>13.4</v>
      </c>
      <c r="I51" s="12">
        <f>F51*13.14/90</f>
        <v>14.6</v>
      </c>
      <c r="J51" s="12">
        <f>F51*207.54/90</f>
        <v>230.6</v>
      </c>
      <c r="K51" s="47" t="s">
        <v>143</v>
      </c>
      <c r="L51" s="118">
        <v>76.78</v>
      </c>
      <c r="M51" s="57"/>
    </row>
    <row r="52" spans="1:13" ht="15.75">
      <c r="A52" s="3"/>
      <c r="B52" s="4"/>
      <c r="C52" s="31"/>
      <c r="D52" s="32" t="s">
        <v>33</v>
      </c>
      <c r="E52" s="44" t="s">
        <v>132</v>
      </c>
      <c r="F52" s="12">
        <v>180</v>
      </c>
      <c r="G52" s="12">
        <f>F52*3.25/150</f>
        <v>3.9</v>
      </c>
      <c r="H52" s="12">
        <f>F52*2.8/150</f>
        <v>3.3599999999999994</v>
      </c>
      <c r="I52" s="12">
        <f>F52*11.9/150</f>
        <v>14.28</v>
      </c>
      <c r="J52" s="12">
        <f>F52*87/150</f>
        <v>104.4</v>
      </c>
      <c r="K52" s="13">
        <v>44533</v>
      </c>
      <c r="L52" s="118">
        <v>19.2</v>
      </c>
      <c r="M52" s="57"/>
    </row>
    <row r="53" spans="1:13" ht="15.75">
      <c r="A53" s="3"/>
      <c r="B53" s="4"/>
      <c r="C53" s="31"/>
      <c r="D53" s="32" t="s">
        <v>91</v>
      </c>
      <c r="E53" s="44" t="s">
        <v>42</v>
      </c>
      <c r="F53" s="56">
        <v>200</v>
      </c>
      <c r="G53" s="56">
        <v>0</v>
      </c>
      <c r="H53" s="56">
        <v>0</v>
      </c>
      <c r="I53" s="56">
        <v>12</v>
      </c>
      <c r="J53" s="56">
        <v>48</v>
      </c>
      <c r="K53" s="46" t="s">
        <v>43</v>
      </c>
      <c r="L53" s="118">
        <v>12.54</v>
      </c>
      <c r="M53" s="57"/>
    </row>
    <row r="54" spans="1:13" ht="31.5">
      <c r="A54" s="3"/>
      <c r="B54" s="4"/>
      <c r="C54" s="31"/>
      <c r="D54" s="32" t="s">
        <v>36</v>
      </c>
      <c r="E54" s="14" t="s">
        <v>37</v>
      </c>
      <c r="F54" s="12">
        <v>43</v>
      </c>
      <c r="G54" s="12">
        <f>SUM(F54*3.16/40)</f>
        <v>3.3969999999999998</v>
      </c>
      <c r="H54" s="12">
        <f>SUM(F54*0.4/40)</f>
        <v>0.43</v>
      </c>
      <c r="I54" s="12">
        <f>SUM(F54*19.32/40)</f>
        <v>20.768999999999998</v>
      </c>
      <c r="J54" s="12">
        <f>SUM(F54*93.52/40)</f>
        <v>100.53399999999999</v>
      </c>
      <c r="K54" s="46" t="s">
        <v>26</v>
      </c>
      <c r="L54" s="118">
        <v>5.5</v>
      </c>
      <c r="M54" s="57"/>
    </row>
    <row r="55" spans="1:13" ht="15.75">
      <c r="A55" s="3"/>
      <c r="B55" s="4"/>
      <c r="C55" s="31"/>
      <c r="D55" s="32" t="s">
        <v>38</v>
      </c>
      <c r="E55" s="45" t="s">
        <v>133</v>
      </c>
      <c r="F55" s="12">
        <v>33</v>
      </c>
      <c r="G55" s="12">
        <f>SUM(F55*1.68/30)</f>
        <v>1.8479999999999999</v>
      </c>
      <c r="H55" s="12">
        <f>SUM(F55*0.33/30)</f>
        <v>0.36300000000000004</v>
      </c>
      <c r="I55" s="12">
        <f>SUM(F55*14.82/30)</f>
        <v>16.302</v>
      </c>
      <c r="J55" s="12">
        <f>SUM(F55*68.97/30)</f>
        <v>75.86699999999999</v>
      </c>
      <c r="K55" s="46" t="s">
        <v>26</v>
      </c>
      <c r="L55" s="118">
        <v>3.9</v>
      </c>
      <c r="M55" s="57"/>
    </row>
    <row r="56" spans="1:13" ht="15.75">
      <c r="A56" s="3"/>
      <c r="B56" s="4"/>
      <c r="C56" s="31"/>
      <c r="D56" s="33"/>
      <c r="E56" s="58"/>
      <c r="F56" s="65"/>
      <c r="G56" s="65"/>
      <c r="H56" s="65"/>
      <c r="I56" s="65"/>
      <c r="J56" s="65"/>
      <c r="K56" s="46"/>
      <c r="L56" s="118"/>
      <c r="M56" s="57"/>
    </row>
    <row r="57" spans="1:13" ht="15.75">
      <c r="A57" s="3"/>
      <c r="B57" s="4"/>
      <c r="C57" s="31"/>
      <c r="D57" s="33"/>
      <c r="E57" s="58"/>
      <c r="F57" s="65"/>
      <c r="G57" s="65"/>
      <c r="H57" s="65"/>
      <c r="I57" s="65"/>
      <c r="J57" s="65"/>
      <c r="K57" s="46"/>
      <c r="L57" s="118"/>
      <c r="M57" s="57"/>
    </row>
    <row r="58" spans="1:13" ht="15.75">
      <c r="A58" s="25"/>
      <c r="B58" s="26"/>
      <c r="C58" s="34"/>
      <c r="D58" s="35" t="s">
        <v>28</v>
      </c>
      <c r="E58" s="59"/>
      <c r="F58" s="60">
        <f>SUM(F49:F57)</f>
        <v>821</v>
      </c>
      <c r="G58" s="60">
        <f>SUM(G49:G57)-0.01</f>
        <v>27.764999999999997</v>
      </c>
      <c r="H58" s="60">
        <f t="shared" ref="H58" si="4">SUM(H49:H57)</f>
        <v>29.777999999999999</v>
      </c>
      <c r="I58" s="60">
        <f>SUM(I49:I57)</f>
        <v>111.99600000000001</v>
      </c>
      <c r="J58" s="60">
        <f t="shared" ref="J58" si="5">SUM(J49:J57)</f>
        <v>828.56099999999992</v>
      </c>
      <c r="K58" s="82"/>
      <c r="L58" s="107">
        <f>SUM(L49:L57)-0.01</f>
        <v>150.69999999999999</v>
      </c>
      <c r="M58" s="57"/>
    </row>
    <row r="59" spans="1:13" ht="16.5" thickBot="1">
      <c r="A59" s="27">
        <f>A41</f>
        <v>1</v>
      </c>
      <c r="B59" s="28">
        <f>B41</f>
        <v>3</v>
      </c>
      <c r="C59" s="138" t="s">
        <v>39</v>
      </c>
      <c r="D59" s="139"/>
      <c r="E59" s="64"/>
      <c r="F59" s="66">
        <f>F48+F58</f>
        <v>1391</v>
      </c>
      <c r="G59" s="66">
        <f>G48+G58</f>
        <v>59.83</v>
      </c>
      <c r="H59" s="66">
        <f t="shared" ref="H59" si="6">H48+H58</f>
        <v>57.573000000000008</v>
      </c>
      <c r="I59" s="66">
        <f t="shared" ref="I59" si="7">I48+I58</f>
        <v>203.75800000000001</v>
      </c>
      <c r="J59" s="66">
        <f t="shared" ref="J59:L59" si="8">J48+J58</f>
        <v>1573.116</v>
      </c>
      <c r="K59" s="83"/>
      <c r="L59" s="119">
        <f t="shared" si="8"/>
        <v>269.89999999999998</v>
      </c>
      <c r="M59" s="57"/>
    </row>
    <row r="60" spans="1:13" ht="15.75">
      <c r="A60" s="1">
        <v>1</v>
      </c>
      <c r="B60" s="2">
        <v>4</v>
      </c>
      <c r="C60" s="29" t="s">
        <v>21</v>
      </c>
      <c r="D60" s="30" t="s">
        <v>22</v>
      </c>
      <c r="E60" s="45" t="s">
        <v>100</v>
      </c>
      <c r="F60" s="56">
        <v>200</v>
      </c>
      <c r="G60" s="56">
        <f>F60*15.7/200</f>
        <v>15.7</v>
      </c>
      <c r="H60" s="56">
        <f>F60*15.7/200</f>
        <v>15.7</v>
      </c>
      <c r="I60" s="56">
        <f>F60*19.8/200</f>
        <v>19.8</v>
      </c>
      <c r="J60" s="56">
        <f>F60*283.3/200</f>
        <v>283.3</v>
      </c>
      <c r="K60" s="47">
        <v>44263</v>
      </c>
      <c r="L60" s="121">
        <v>80.53</v>
      </c>
      <c r="M60" s="57"/>
    </row>
    <row r="61" spans="1:13" ht="15.75">
      <c r="A61" s="3"/>
      <c r="B61" s="4"/>
      <c r="C61" s="31"/>
      <c r="D61" s="32" t="s">
        <v>23</v>
      </c>
      <c r="E61" s="45" t="s">
        <v>101</v>
      </c>
      <c r="F61" s="56">
        <v>200</v>
      </c>
      <c r="G61" s="56">
        <v>0.1</v>
      </c>
      <c r="H61" s="56">
        <v>0</v>
      </c>
      <c r="I61" s="56">
        <v>9.9</v>
      </c>
      <c r="J61" s="56">
        <v>40</v>
      </c>
      <c r="K61" s="46" t="s">
        <v>102</v>
      </c>
      <c r="L61" s="122">
        <v>6.01</v>
      </c>
      <c r="M61" s="57"/>
    </row>
    <row r="62" spans="1:13" ht="31.5">
      <c r="A62" s="3"/>
      <c r="B62" s="4"/>
      <c r="C62" s="31"/>
      <c r="D62" s="32" t="s">
        <v>36</v>
      </c>
      <c r="E62" s="14" t="s">
        <v>37</v>
      </c>
      <c r="F62" s="12">
        <v>51</v>
      </c>
      <c r="G62" s="12">
        <f>SUM(F62*3.95/50)</f>
        <v>4.0289999999999999</v>
      </c>
      <c r="H62" s="12">
        <f>SUM(F62*0.5/50)</f>
        <v>0.51</v>
      </c>
      <c r="I62" s="12">
        <f>SUM(F62*24.15/50)</f>
        <v>24.632999999999996</v>
      </c>
      <c r="J62" s="12">
        <f>SUM(F62*116.9/50)</f>
        <v>119.23800000000001</v>
      </c>
      <c r="K62" s="46" t="s">
        <v>26</v>
      </c>
      <c r="L62" s="122">
        <v>6.53</v>
      </c>
      <c r="M62" s="57"/>
    </row>
    <row r="63" spans="1:13" ht="15.75">
      <c r="A63" s="3"/>
      <c r="B63" s="4"/>
      <c r="C63" s="31"/>
      <c r="D63" s="32" t="s">
        <v>38</v>
      </c>
      <c r="E63" s="45" t="s">
        <v>133</v>
      </c>
      <c r="F63" s="12">
        <v>50</v>
      </c>
      <c r="G63" s="12">
        <f>SUM(F63*2.8/50)</f>
        <v>2.8</v>
      </c>
      <c r="H63" s="12">
        <f>SUM(F63*0.55/50)</f>
        <v>0.55000000000000004</v>
      </c>
      <c r="I63" s="12">
        <f>SUM(F63*24.7/50)</f>
        <v>24.7</v>
      </c>
      <c r="J63" s="12">
        <f>SUM(F63*114.95/50)</f>
        <v>114.95</v>
      </c>
      <c r="K63" s="46" t="s">
        <v>26</v>
      </c>
      <c r="L63" s="118">
        <v>5.92</v>
      </c>
      <c r="M63" s="57"/>
    </row>
    <row r="64" spans="1:13" ht="47.25">
      <c r="A64" s="3"/>
      <c r="B64" s="4"/>
      <c r="C64" s="31"/>
      <c r="D64" s="32"/>
      <c r="E64" s="14" t="s">
        <v>151</v>
      </c>
      <c r="F64" s="12">
        <v>54</v>
      </c>
      <c r="G64" s="12">
        <f>1.2*F64/100</f>
        <v>0.64800000000000002</v>
      </c>
      <c r="H64" s="12">
        <f>6*F64/100</f>
        <v>3.24</v>
      </c>
      <c r="I64" s="12">
        <f>16.2*F64/100</f>
        <v>8.7479999999999993</v>
      </c>
      <c r="J64" s="12">
        <f>124*F64/100</f>
        <v>66.959999999999994</v>
      </c>
      <c r="K64" s="46" t="s">
        <v>126</v>
      </c>
      <c r="L64" s="118">
        <v>20.22</v>
      </c>
      <c r="M64" s="57"/>
    </row>
    <row r="65" spans="1:13" ht="15.75">
      <c r="A65" s="3"/>
      <c r="B65" s="4"/>
      <c r="C65" s="31"/>
      <c r="D65" s="33"/>
      <c r="E65" s="16"/>
      <c r="F65" s="12"/>
      <c r="G65" s="12"/>
      <c r="H65" s="12"/>
      <c r="I65" s="12"/>
      <c r="J65" s="12"/>
      <c r="K65" s="46"/>
      <c r="L65" s="118"/>
      <c r="M65" s="57"/>
    </row>
    <row r="66" spans="1:13" ht="15.75">
      <c r="A66" s="3"/>
      <c r="B66" s="4"/>
      <c r="C66" s="31"/>
      <c r="D66" s="33"/>
      <c r="E66" s="58"/>
      <c r="F66" s="65"/>
      <c r="G66" s="65"/>
      <c r="H66" s="65"/>
      <c r="I66" s="65"/>
      <c r="J66" s="65"/>
      <c r="K66" s="46"/>
      <c r="L66" s="118"/>
      <c r="M66" s="57"/>
    </row>
    <row r="67" spans="1:13" ht="15.75">
      <c r="A67" s="25"/>
      <c r="B67" s="26"/>
      <c r="C67" s="34"/>
      <c r="D67" s="35" t="s">
        <v>28</v>
      </c>
      <c r="E67" s="59"/>
      <c r="F67" s="60">
        <f>SUM(F60:F66)</f>
        <v>555</v>
      </c>
      <c r="G67" s="60">
        <f>SUM(G60:G66)</f>
        <v>23.277000000000001</v>
      </c>
      <c r="H67" s="60">
        <f t="shared" ref="H67" si="9">SUM(H60:H66)</f>
        <v>20</v>
      </c>
      <c r="I67" s="60">
        <f t="shared" ref="I67" si="10">SUM(I60:I66)</f>
        <v>87.781000000000006</v>
      </c>
      <c r="J67" s="60">
        <f t="shared" ref="J67" si="11">SUM(J60:J66)</f>
        <v>624.44800000000009</v>
      </c>
      <c r="K67" s="82"/>
      <c r="L67" s="107">
        <f>SUM(L60:L66)-0.01</f>
        <v>119.2</v>
      </c>
      <c r="M67" s="57"/>
    </row>
    <row r="68" spans="1:13" ht="58.5" customHeight="1">
      <c r="A68" s="5">
        <f>A60</f>
        <v>1</v>
      </c>
      <c r="B68" s="6">
        <f>B60</f>
        <v>4</v>
      </c>
      <c r="C68" s="36" t="s">
        <v>29</v>
      </c>
      <c r="D68" s="32" t="s">
        <v>30</v>
      </c>
      <c r="E68" s="45" t="s">
        <v>152</v>
      </c>
      <c r="F68" s="56">
        <v>90</v>
      </c>
      <c r="G68" s="56">
        <f>F68*1.02/60</f>
        <v>1.53</v>
      </c>
      <c r="H68" s="56">
        <f>F68*3.6/60</f>
        <v>5.4</v>
      </c>
      <c r="I68" s="56">
        <f>4.74*F68/60</f>
        <v>7.11</v>
      </c>
      <c r="J68" s="56">
        <f>F68*55.44/60</f>
        <v>83.16</v>
      </c>
      <c r="K68" s="46" t="s">
        <v>134</v>
      </c>
      <c r="L68" s="118">
        <v>11.58</v>
      </c>
      <c r="M68" s="57"/>
    </row>
    <row r="69" spans="1:13" ht="31.5">
      <c r="A69" s="3"/>
      <c r="B69" s="4"/>
      <c r="C69" s="31"/>
      <c r="D69" s="32" t="s">
        <v>31</v>
      </c>
      <c r="E69" s="15" t="s">
        <v>135</v>
      </c>
      <c r="F69" s="12">
        <v>200</v>
      </c>
      <c r="G69" s="12">
        <f>F69*7.76/200</f>
        <v>7.76</v>
      </c>
      <c r="H69" s="12">
        <f>F69*3.84/200</f>
        <v>3.84</v>
      </c>
      <c r="I69" s="12">
        <f>F69*10.48/200</f>
        <v>10.48</v>
      </c>
      <c r="J69" s="12">
        <f>F69*106.4/200</f>
        <v>106.4</v>
      </c>
      <c r="K69" s="13" t="s">
        <v>139</v>
      </c>
      <c r="L69" s="118">
        <v>35.11</v>
      </c>
      <c r="M69" s="57"/>
    </row>
    <row r="70" spans="1:13" ht="15.75">
      <c r="A70" s="3"/>
      <c r="B70" s="4"/>
      <c r="C70" s="31"/>
      <c r="D70" s="32" t="s">
        <v>32</v>
      </c>
      <c r="E70" s="14" t="s">
        <v>41</v>
      </c>
      <c r="F70" s="12">
        <v>100</v>
      </c>
      <c r="G70" s="12">
        <f>F70*13.32/90</f>
        <v>14.8</v>
      </c>
      <c r="H70" s="12">
        <f>F70*11.16/90</f>
        <v>12.4</v>
      </c>
      <c r="I70" s="12">
        <f>F70*8.19/90</f>
        <v>9.1</v>
      </c>
      <c r="J70" s="12">
        <f>F70*186.3/90</f>
        <v>207</v>
      </c>
      <c r="K70" s="46">
        <v>44325</v>
      </c>
      <c r="L70" s="118">
        <v>70.290000000000006</v>
      </c>
      <c r="M70" s="57"/>
    </row>
    <row r="71" spans="1:13" ht="15.75">
      <c r="A71" s="3"/>
      <c r="B71" s="4"/>
      <c r="C71" s="31"/>
      <c r="D71" s="32" t="s">
        <v>33</v>
      </c>
      <c r="E71" s="15" t="s">
        <v>47</v>
      </c>
      <c r="F71" s="12">
        <v>150</v>
      </c>
      <c r="G71" s="12">
        <f>F71*6.63/150</f>
        <v>6.63</v>
      </c>
      <c r="H71" s="12">
        <f>F71*4.44/150</f>
        <v>4.4400000000000004</v>
      </c>
      <c r="I71" s="12">
        <f>F71*28.8/150</f>
        <v>28.8</v>
      </c>
      <c r="J71" s="12">
        <f>F71*181.5/150</f>
        <v>181.5</v>
      </c>
      <c r="K71" s="13" t="s">
        <v>66</v>
      </c>
      <c r="L71" s="118">
        <v>8.6199999999999992</v>
      </c>
      <c r="M71" s="57"/>
    </row>
    <row r="72" spans="1:13" ht="15.75">
      <c r="A72" s="3"/>
      <c r="B72" s="4"/>
      <c r="C72" s="31"/>
      <c r="D72" s="32" t="s">
        <v>91</v>
      </c>
      <c r="E72" s="14" t="s">
        <v>51</v>
      </c>
      <c r="F72" s="12">
        <v>200</v>
      </c>
      <c r="G72" s="12">
        <v>0.2</v>
      </c>
      <c r="H72" s="12">
        <v>0.2</v>
      </c>
      <c r="I72" s="12">
        <v>16.8</v>
      </c>
      <c r="J72" s="12">
        <v>70</v>
      </c>
      <c r="K72" s="13">
        <v>44296</v>
      </c>
      <c r="L72" s="118">
        <v>16.440000000000001</v>
      </c>
      <c r="M72" s="57"/>
    </row>
    <row r="73" spans="1:13" ht="31.5">
      <c r="A73" s="3"/>
      <c r="B73" s="4"/>
      <c r="C73" s="31"/>
      <c r="D73" s="32" t="s">
        <v>36</v>
      </c>
      <c r="E73" s="14" t="s">
        <v>37</v>
      </c>
      <c r="F73" s="12">
        <v>40</v>
      </c>
      <c r="G73" s="12">
        <f>SUM(F73*3.16/40)</f>
        <v>3.16</v>
      </c>
      <c r="H73" s="12">
        <f>SUM(F73*0.4/40)</f>
        <v>0.4</v>
      </c>
      <c r="I73" s="12">
        <f>SUM(F73*19.32/40)</f>
        <v>19.32</v>
      </c>
      <c r="J73" s="12">
        <f>SUM(F73*93.52/40)</f>
        <v>93.52</v>
      </c>
      <c r="K73" s="46" t="s">
        <v>26</v>
      </c>
      <c r="L73" s="118">
        <v>5.12</v>
      </c>
      <c r="M73" s="57"/>
    </row>
    <row r="74" spans="1:13" ht="15.75">
      <c r="A74" s="3"/>
      <c r="B74" s="4"/>
      <c r="C74" s="31"/>
      <c r="D74" s="32" t="s">
        <v>38</v>
      </c>
      <c r="E74" s="14" t="s">
        <v>133</v>
      </c>
      <c r="F74" s="12">
        <v>30</v>
      </c>
      <c r="G74" s="12">
        <f>SUM(F74*1.68/30)</f>
        <v>1.68</v>
      </c>
      <c r="H74" s="12">
        <f>SUM(F74*0.33/30)</f>
        <v>0.33</v>
      </c>
      <c r="I74" s="12">
        <f>SUM(F74*14.82/30)</f>
        <v>14.82</v>
      </c>
      <c r="J74" s="12">
        <f>SUM(F74*68.97/30)</f>
        <v>68.97</v>
      </c>
      <c r="K74" s="46" t="s">
        <v>26</v>
      </c>
      <c r="L74" s="118">
        <v>3.55</v>
      </c>
      <c r="M74" s="57"/>
    </row>
    <row r="75" spans="1:13" ht="15.75">
      <c r="A75" s="3"/>
      <c r="B75" s="4"/>
      <c r="C75" s="31"/>
      <c r="D75" s="33"/>
      <c r="E75" s="58"/>
      <c r="F75" s="65"/>
      <c r="G75" s="65"/>
      <c r="H75" s="65"/>
      <c r="I75" s="65"/>
      <c r="J75" s="65"/>
      <c r="K75" s="46"/>
      <c r="L75" s="118"/>
      <c r="M75" s="57"/>
    </row>
    <row r="76" spans="1:13" ht="15.75">
      <c r="A76" s="3"/>
      <c r="B76" s="4"/>
      <c r="C76" s="31"/>
      <c r="D76" s="33"/>
      <c r="E76" s="58"/>
      <c r="F76" s="65"/>
      <c r="G76" s="65"/>
      <c r="H76" s="65"/>
      <c r="I76" s="65"/>
      <c r="J76" s="65"/>
      <c r="K76" s="46"/>
      <c r="L76" s="118"/>
      <c r="M76" s="57"/>
    </row>
    <row r="77" spans="1:13" ht="15.75">
      <c r="A77" s="25"/>
      <c r="B77" s="26"/>
      <c r="C77" s="34"/>
      <c r="D77" s="35" t="s">
        <v>28</v>
      </c>
      <c r="E77" s="59"/>
      <c r="F77" s="60">
        <f>SUM(F68:F76)</f>
        <v>810</v>
      </c>
      <c r="G77" s="60">
        <f t="shared" ref="G77" si="12">SUM(G68:G76)</f>
        <v>35.76</v>
      </c>
      <c r="H77" s="60">
        <f t="shared" ref="H77" si="13">SUM(H68:H76)</f>
        <v>27.009999999999998</v>
      </c>
      <c r="I77" s="60">
        <f t="shared" ref="I77" si="14">SUM(I68:I76)</f>
        <v>106.42999999999998</v>
      </c>
      <c r="J77" s="60">
        <f t="shared" ref="J77" si="15">SUM(J68:J76)</f>
        <v>810.55</v>
      </c>
      <c r="K77" s="82"/>
      <c r="L77" s="107">
        <f>SUM(L68:L76)-0.01</f>
        <v>150.70000000000005</v>
      </c>
      <c r="M77" s="57"/>
    </row>
    <row r="78" spans="1:13" ht="16.5" thickBot="1">
      <c r="A78" s="27">
        <f>A60</f>
        <v>1</v>
      </c>
      <c r="B78" s="28">
        <f>B60</f>
        <v>4</v>
      </c>
      <c r="C78" s="138" t="s">
        <v>39</v>
      </c>
      <c r="D78" s="139"/>
      <c r="E78" s="64"/>
      <c r="F78" s="66">
        <f>F67+F77</f>
        <v>1365</v>
      </c>
      <c r="G78" s="66">
        <f t="shared" ref="G78" si="16">G67+G77</f>
        <v>59.036999999999999</v>
      </c>
      <c r="H78" s="66">
        <f t="shared" ref="H78" si="17">H67+H77</f>
        <v>47.01</v>
      </c>
      <c r="I78" s="66">
        <f t="shared" ref="I78" si="18">I67+I77</f>
        <v>194.21099999999998</v>
      </c>
      <c r="J78" s="66">
        <f t="shared" ref="J78:L78" si="19">J67+J77</f>
        <v>1434.998</v>
      </c>
      <c r="K78" s="83"/>
      <c r="L78" s="119">
        <f t="shared" si="19"/>
        <v>269.90000000000003</v>
      </c>
      <c r="M78" s="57"/>
    </row>
    <row r="79" spans="1:13" ht="16.5" thickBot="1">
      <c r="A79" s="1">
        <v>1</v>
      </c>
      <c r="B79" s="2">
        <v>5</v>
      </c>
      <c r="C79" s="29" t="s">
        <v>21</v>
      </c>
      <c r="D79" s="30"/>
      <c r="E79" s="15"/>
      <c r="F79" s="12"/>
      <c r="G79" s="12"/>
      <c r="H79" s="12"/>
      <c r="I79" s="12"/>
      <c r="J79" s="12"/>
      <c r="K79" s="17"/>
      <c r="L79" s="117"/>
      <c r="M79" s="57"/>
    </row>
    <row r="80" spans="1:13" ht="15.75">
      <c r="A80" s="3"/>
      <c r="B80" s="4"/>
      <c r="C80" s="31"/>
      <c r="D80" s="30" t="s">
        <v>22</v>
      </c>
      <c r="E80" s="44" t="s">
        <v>103</v>
      </c>
      <c r="F80" s="56">
        <v>200</v>
      </c>
      <c r="G80" s="56">
        <f>F80*19.5/200</f>
        <v>19.5</v>
      </c>
      <c r="H80" s="56">
        <f>F80*21.2/200</f>
        <v>21.2</v>
      </c>
      <c r="I80" s="56">
        <f>F80*17.7/200</f>
        <v>17.7</v>
      </c>
      <c r="J80" s="56">
        <f>F80*339.6/200</f>
        <v>339.6</v>
      </c>
      <c r="K80" s="13" t="s">
        <v>105</v>
      </c>
      <c r="L80" s="118">
        <v>74.23</v>
      </c>
      <c r="M80" s="57"/>
    </row>
    <row r="81" spans="1:13" ht="15.75">
      <c r="A81" s="3"/>
      <c r="B81" s="4"/>
      <c r="C81" s="31"/>
      <c r="D81" s="32" t="s">
        <v>23</v>
      </c>
      <c r="E81" s="45" t="s">
        <v>104</v>
      </c>
      <c r="F81" s="70">
        <v>200</v>
      </c>
      <c r="G81" s="56">
        <v>0.1</v>
      </c>
      <c r="H81" s="56">
        <v>0</v>
      </c>
      <c r="I81" s="56">
        <v>9.8000000000000007</v>
      </c>
      <c r="J81" s="56">
        <v>39</v>
      </c>
      <c r="K81" s="13" t="s">
        <v>106</v>
      </c>
      <c r="L81" s="118">
        <v>3.06</v>
      </c>
      <c r="M81" s="57"/>
    </row>
    <row r="82" spans="1:13" ht="15.75">
      <c r="A82" s="3"/>
      <c r="B82" s="4"/>
      <c r="C82" s="31"/>
      <c r="D82" s="32" t="s">
        <v>36</v>
      </c>
      <c r="E82" s="45" t="s">
        <v>27</v>
      </c>
      <c r="F82" s="11">
        <v>53</v>
      </c>
      <c r="G82" s="11">
        <f>F82*6.1/50</f>
        <v>6.4659999999999993</v>
      </c>
      <c r="H82" s="11">
        <f>F82*3.7/50</f>
        <v>3.9220000000000006</v>
      </c>
      <c r="I82" s="11">
        <f>F82*17.5/50</f>
        <v>18.55</v>
      </c>
      <c r="J82" s="11">
        <f>F82*127.7/50</f>
        <v>135.36199999999999</v>
      </c>
      <c r="K82" s="13">
        <v>44240</v>
      </c>
      <c r="L82" s="118">
        <v>35.76</v>
      </c>
      <c r="M82" s="57"/>
    </row>
    <row r="83" spans="1:13" ht="15.75">
      <c r="A83" s="3"/>
      <c r="B83" s="4"/>
      <c r="C83" s="31"/>
      <c r="D83" s="32" t="s">
        <v>38</v>
      </c>
      <c r="E83" s="14" t="s">
        <v>133</v>
      </c>
      <c r="F83" s="12">
        <v>52</v>
      </c>
      <c r="G83" s="12">
        <f>SUM(F83*2.8/50)</f>
        <v>2.9119999999999999</v>
      </c>
      <c r="H83" s="12">
        <f>SUM(F83*0.55/50)</f>
        <v>0.57200000000000006</v>
      </c>
      <c r="I83" s="12">
        <f>SUM(F83*24.7/50)</f>
        <v>25.687999999999999</v>
      </c>
      <c r="J83" s="12">
        <f>SUM(F83*114.95/50)</f>
        <v>119.54800000000002</v>
      </c>
      <c r="K83" s="46" t="s">
        <v>26</v>
      </c>
      <c r="L83" s="118">
        <v>6.16</v>
      </c>
      <c r="M83" s="57"/>
    </row>
    <row r="84" spans="1:13" ht="15.75">
      <c r="A84" s="3"/>
      <c r="B84" s="4"/>
      <c r="C84" s="31"/>
      <c r="D84" s="32"/>
      <c r="E84" s="14"/>
      <c r="F84" s="12"/>
      <c r="G84" s="12"/>
      <c r="H84" s="12"/>
      <c r="I84" s="12"/>
      <c r="J84" s="12"/>
      <c r="K84" s="46"/>
      <c r="L84" s="118"/>
      <c r="M84" s="57"/>
    </row>
    <row r="85" spans="1:13" ht="20.25" customHeight="1">
      <c r="A85" s="25"/>
      <c r="B85" s="26"/>
      <c r="C85" s="34"/>
      <c r="D85" s="35" t="s">
        <v>28</v>
      </c>
      <c r="E85" s="59"/>
      <c r="F85" s="60">
        <f>SUM(F80:F84)</f>
        <v>505</v>
      </c>
      <c r="G85" s="60">
        <f>SUM(G80:G84)</f>
        <v>28.978000000000002</v>
      </c>
      <c r="H85" s="60">
        <f>SUM(H80:H84)</f>
        <v>25.693999999999999</v>
      </c>
      <c r="I85" s="60">
        <f>SUM(I80:I84)</f>
        <v>71.738</v>
      </c>
      <c r="J85" s="60">
        <f>SUM(J80:J84)</f>
        <v>633.51</v>
      </c>
      <c r="K85" s="82"/>
      <c r="L85" s="107">
        <f>SUM(L80:L84)-0.01</f>
        <v>119.2</v>
      </c>
      <c r="M85" s="57"/>
    </row>
    <row r="86" spans="1:13" ht="47.25">
      <c r="A86" s="5">
        <f>A79</f>
        <v>1</v>
      </c>
      <c r="B86" s="6">
        <f>B79</f>
        <v>5</v>
      </c>
      <c r="C86" s="36" t="s">
        <v>29</v>
      </c>
      <c r="D86" s="32" t="s">
        <v>30</v>
      </c>
      <c r="E86" s="45" t="s">
        <v>107</v>
      </c>
      <c r="F86" s="56">
        <v>75</v>
      </c>
      <c r="G86" s="56">
        <f>F86*0.6/60</f>
        <v>0.75</v>
      </c>
      <c r="H86" s="56">
        <f>F86*3.6/60</f>
        <v>4.5</v>
      </c>
      <c r="I86" s="56">
        <f>F86*5.76/60</f>
        <v>7.2</v>
      </c>
      <c r="J86" s="56">
        <f>F86*57.84/60</f>
        <v>72.3</v>
      </c>
      <c r="K86" s="46" t="s">
        <v>109</v>
      </c>
      <c r="L86" s="118">
        <v>10.54</v>
      </c>
      <c r="M86" s="57"/>
    </row>
    <row r="87" spans="1:13" ht="47.25">
      <c r="A87" s="3"/>
      <c r="B87" s="4"/>
      <c r="C87" s="31"/>
      <c r="D87" s="32" t="s">
        <v>31</v>
      </c>
      <c r="E87" s="45" t="s">
        <v>137</v>
      </c>
      <c r="F87" s="56">
        <v>200</v>
      </c>
      <c r="G87" s="56">
        <f>F87*3.42/200</f>
        <v>3.42</v>
      </c>
      <c r="H87" s="56">
        <f>F87*5.86/200</f>
        <v>5.86</v>
      </c>
      <c r="I87" s="56">
        <f>F87*7.8/200</f>
        <v>7.8</v>
      </c>
      <c r="J87" s="56">
        <f>F87*97.92/200</f>
        <v>97.92</v>
      </c>
      <c r="K87" s="46" t="s">
        <v>110</v>
      </c>
      <c r="L87" s="118">
        <v>23.74</v>
      </c>
      <c r="M87" s="57"/>
    </row>
    <row r="88" spans="1:13" ht="31.5">
      <c r="A88" s="3"/>
      <c r="B88" s="4"/>
      <c r="C88" s="31"/>
      <c r="D88" s="32" t="s">
        <v>32</v>
      </c>
      <c r="E88" s="45" t="s">
        <v>108</v>
      </c>
      <c r="F88" s="11">
        <v>100</v>
      </c>
      <c r="G88" s="12">
        <f>F88*11.7/90</f>
        <v>13</v>
      </c>
      <c r="H88" s="12">
        <f>F88*11.61/90</f>
        <v>12.9</v>
      </c>
      <c r="I88" s="12">
        <f>F88*5.76/90</f>
        <v>6.4</v>
      </c>
      <c r="J88" s="12">
        <f>F88*174.6/90</f>
        <v>194</v>
      </c>
      <c r="K88" s="46" t="s">
        <v>111</v>
      </c>
      <c r="L88" s="118">
        <v>80.13</v>
      </c>
      <c r="M88" s="57"/>
    </row>
    <row r="89" spans="1:13" ht="15.75">
      <c r="A89" s="3"/>
      <c r="B89" s="4"/>
      <c r="C89" s="31"/>
      <c r="D89" s="32" t="s">
        <v>33</v>
      </c>
      <c r="E89" s="44" t="s">
        <v>53</v>
      </c>
      <c r="F89" s="12">
        <v>150</v>
      </c>
      <c r="G89" s="12">
        <f>F89*3.17/150</f>
        <v>3.17</v>
      </c>
      <c r="H89" s="12">
        <f>F89*3.6/150</f>
        <v>3.6</v>
      </c>
      <c r="I89" s="12">
        <f>F89*20.4/150</f>
        <v>20.399999999999999</v>
      </c>
      <c r="J89" s="12">
        <f>F89*128/150</f>
        <v>128</v>
      </c>
      <c r="K89" s="46">
        <v>44258</v>
      </c>
      <c r="L89" s="118">
        <v>18.170000000000002</v>
      </c>
      <c r="M89" s="57"/>
    </row>
    <row r="90" spans="1:13" ht="15.75">
      <c r="A90" s="3"/>
      <c r="B90" s="4"/>
      <c r="C90" s="31"/>
      <c r="D90" s="32" t="s">
        <v>91</v>
      </c>
      <c r="E90" s="45" t="s">
        <v>57</v>
      </c>
      <c r="F90" s="56">
        <v>200</v>
      </c>
      <c r="G90" s="56">
        <v>0.2</v>
      </c>
      <c r="H90" s="56">
        <v>0.1</v>
      </c>
      <c r="I90" s="56">
        <v>13.1</v>
      </c>
      <c r="J90" s="56">
        <v>54</v>
      </c>
      <c r="K90" s="46" t="s">
        <v>58</v>
      </c>
      <c r="L90" s="118">
        <v>7.7</v>
      </c>
      <c r="M90" s="57"/>
    </row>
    <row r="91" spans="1:13" ht="31.5">
      <c r="A91" s="3"/>
      <c r="B91" s="4"/>
      <c r="C91" s="31"/>
      <c r="D91" s="32" t="s">
        <v>36</v>
      </c>
      <c r="E91" s="14" t="s">
        <v>37</v>
      </c>
      <c r="F91" s="12">
        <v>50</v>
      </c>
      <c r="G91" s="12">
        <f>SUM(F91*3.95/50)</f>
        <v>3.95</v>
      </c>
      <c r="H91" s="12">
        <f>SUM(F91*0.5/50)</f>
        <v>0.5</v>
      </c>
      <c r="I91" s="12">
        <f>SUM(F91*24.15/50)</f>
        <v>24.15</v>
      </c>
      <c r="J91" s="12">
        <f>SUM(F91*116.9/50)</f>
        <v>116.9</v>
      </c>
      <c r="K91" s="46" t="s">
        <v>26</v>
      </c>
      <c r="L91" s="118">
        <v>6.4</v>
      </c>
      <c r="M91" s="57"/>
    </row>
    <row r="92" spans="1:13" ht="15.75">
      <c r="A92" s="3"/>
      <c r="B92" s="4"/>
      <c r="C92" s="31"/>
      <c r="D92" s="32" t="s">
        <v>38</v>
      </c>
      <c r="E92" s="45" t="s">
        <v>25</v>
      </c>
      <c r="F92" s="12">
        <v>34</v>
      </c>
      <c r="G92" s="12">
        <f>SUM(F92*1.68/30)</f>
        <v>1.9039999999999999</v>
      </c>
      <c r="H92" s="12">
        <f>SUM(F92*0.33/30)</f>
        <v>0.374</v>
      </c>
      <c r="I92" s="12">
        <f>SUM(F92*14.82/30)</f>
        <v>16.795999999999999</v>
      </c>
      <c r="J92" s="12">
        <f>SUM(F92*68.97/30)</f>
        <v>78.165999999999997</v>
      </c>
      <c r="K92" s="46" t="s">
        <v>26</v>
      </c>
      <c r="L92" s="118">
        <v>4.03</v>
      </c>
      <c r="M92" s="57"/>
    </row>
    <row r="93" spans="1:13" ht="15.75">
      <c r="A93" s="3"/>
      <c r="B93" s="4"/>
      <c r="C93" s="31"/>
      <c r="D93" s="33"/>
      <c r="E93" s="58"/>
      <c r="F93" s="65"/>
      <c r="G93" s="65"/>
      <c r="H93" s="65"/>
      <c r="I93" s="65"/>
      <c r="J93" s="65"/>
      <c r="K93" s="46"/>
      <c r="L93" s="118"/>
      <c r="M93" s="57"/>
    </row>
    <row r="94" spans="1:13" ht="15.75">
      <c r="A94" s="3"/>
      <c r="B94" s="4"/>
      <c r="C94" s="31"/>
      <c r="D94" s="33"/>
      <c r="E94" s="58"/>
      <c r="F94" s="65"/>
      <c r="G94" s="65"/>
      <c r="H94" s="65"/>
      <c r="I94" s="65"/>
      <c r="J94" s="65"/>
      <c r="K94" s="46"/>
      <c r="L94" s="118"/>
      <c r="M94" s="57"/>
    </row>
    <row r="95" spans="1:13" ht="21" customHeight="1">
      <c r="A95" s="25"/>
      <c r="B95" s="26"/>
      <c r="C95" s="34"/>
      <c r="D95" s="35" t="s">
        <v>28</v>
      </c>
      <c r="E95" s="59"/>
      <c r="F95" s="60">
        <f>SUM(F86:F94)</f>
        <v>809</v>
      </c>
      <c r="G95" s="60">
        <f t="shared" ref="G95" si="20">SUM(G86:G94)</f>
        <v>26.394000000000002</v>
      </c>
      <c r="H95" s="60">
        <f t="shared" ref="H95" si="21">SUM(H86:H94)</f>
        <v>27.834</v>
      </c>
      <c r="I95" s="60">
        <f t="shared" ref="I95" si="22">SUM(I86:I94)</f>
        <v>95.846000000000004</v>
      </c>
      <c r="J95" s="60">
        <f t="shared" ref="J95" si="23">SUM(J86:J94)</f>
        <v>741.28600000000006</v>
      </c>
      <c r="K95" s="82"/>
      <c r="L95" s="107">
        <f>SUM(L86:L94)-0.01</f>
        <v>150.69999999999999</v>
      </c>
      <c r="M95" s="57"/>
    </row>
    <row r="96" spans="1:13" ht="24.75" customHeight="1" thickBot="1">
      <c r="A96" s="27">
        <f>A79</f>
        <v>1</v>
      </c>
      <c r="B96" s="28">
        <f>B79</f>
        <v>5</v>
      </c>
      <c r="C96" s="138" t="s">
        <v>39</v>
      </c>
      <c r="D96" s="139"/>
      <c r="E96" s="64"/>
      <c r="F96" s="66">
        <f>F85+F95</f>
        <v>1314</v>
      </c>
      <c r="G96" s="66">
        <f t="shared" ref="G96" si="24">G85+G95</f>
        <v>55.372</v>
      </c>
      <c r="H96" s="66">
        <f t="shared" ref="H96" si="25">H85+H95</f>
        <v>53.527999999999999</v>
      </c>
      <c r="I96" s="66">
        <f t="shared" ref="I96" si="26">I85+I95</f>
        <v>167.584</v>
      </c>
      <c r="J96" s="66">
        <f t="shared" ref="J96:L96" si="27">J85+J95</f>
        <v>1374.796</v>
      </c>
      <c r="K96" s="83"/>
      <c r="L96" s="119">
        <f t="shared" si="27"/>
        <v>269.89999999999998</v>
      </c>
      <c r="M96" s="57"/>
    </row>
    <row r="97" spans="1:13" ht="31.5">
      <c r="A97" s="1">
        <v>2</v>
      </c>
      <c r="B97" s="2">
        <v>1</v>
      </c>
      <c r="C97" s="29" t="s">
        <v>21</v>
      </c>
      <c r="D97" s="30" t="s">
        <v>22</v>
      </c>
      <c r="E97" s="45" t="s">
        <v>112</v>
      </c>
      <c r="F97" s="56">
        <v>200</v>
      </c>
      <c r="G97" s="56">
        <f>F97*5.5/200</f>
        <v>5.5</v>
      </c>
      <c r="H97" s="56">
        <f>F97*9.9/200</f>
        <v>9.9</v>
      </c>
      <c r="I97" s="56">
        <f>F97*39.26/200</f>
        <v>39.26</v>
      </c>
      <c r="J97" s="56">
        <f>F97*268.14/200</f>
        <v>268.14</v>
      </c>
      <c r="K97" s="47">
        <v>44443</v>
      </c>
      <c r="L97" s="117">
        <v>34.35</v>
      </c>
      <c r="M97" s="57"/>
    </row>
    <row r="98" spans="1:13" ht="15.75">
      <c r="A98" s="3"/>
      <c r="B98" s="4"/>
      <c r="C98" s="31"/>
      <c r="D98" s="33" t="s">
        <v>61</v>
      </c>
      <c r="E98" s="45" t="s">
        <v>79</v>
      </c>
      <c r="F98" s="12">
        <v>100</v>
      </c>
      <c r="G98" s="12">
        <f>F98*0.4/100</f>
        <v>0.4</v>
      </c>
      <c r="H98" s="12">
        <f>F98*0.4/100</f>
        <v>0.4</v>
      </c>
      <c r="I98" s="12">
        <f>F98*10.95/100</f>
        <v>10.95</v>
      </c>
      <c r="J98" s="12">
        <f>F98*49/100</f>
        <v>49</v>
      </c>
      <c r="K98" s="46" t="s">
        <v>26</v>
      </c>
      <c r="L98" s="118">
        <v>25.33</v>
      </c>
      <c r="M98" s="57"/>
    </row>
    <row r="99" spans="1:13" ht="31.5">
      <c r="A99" s="3"/>
      <c r="B99" s="4"/>
      <c r="C99" s="31"/>
      <c r="D99" s="32" t="s">
        <v>23</v>
      </c>
      <c r="E99" s="45" t="s">
        <v>24</v>
      </c>
      <c r="F99" s="56">
        <v>200</v>
      </c>
      <c r="G99" s="56">
        <v>3.1</v>
      </c>
      <c r="H99" s="56">
        <v>3.2</v>
      </c>
      <c r="I99" s="56">
        <v>14.4</v>
      </c>
      <c r="J99" s="56">
        <v>99</v>
      </c>
      <c r="K99" s="46" t="s">
        <v>60</v>
      </c>
      <c r="L99" s="118">
        <v>22.27</v>
      </c>
      <c r="M99" s="57"/>
    </row>
    <row r="100" spans="1:13" ht="15.75">
      <c r="A100" s="3"/>
      <c r="B100" s="4"/>
      <c r="C100" s="31"/>
      <c r="D100" s="33" t="s">
        <v>36</v>
      </c>
      <c r="E100" s="45" t="s">
        <v>27</v>
      </c>
      <c r="F100" s="11">
        <v>50</v>
      </c>
      <c r="G100" s="11">
        <f>F100*6.1/50</f>
        <v>6.1</v>
      </c>
      <c r="H100" s="11">
        <f>F100*3.7/50</f>
        <v>3.7</v>
      </c>
      <c r="I100" s="11">
        <f>F100*17.5/50</f>
        <v>17.5</v>
      </c>
      <c r="J100" s="11">
        <f>F100*127.7/50</f>
        <v>127.7</v>
      </c>
      <c r="K100" s="13">
        <v>44240</v>
      </c>
      <c r="L100" s="118">
        <v>33.700000000000003</v>
      </c>
      <c r="M100" s="57"/>
    </row>
    <row r="101" spans="1:13" ht="15.75">
      <c r="A101" s="3"/>
      <c r="B101" s="4"/>
      <c r="C101" s="31"/>
      <c r="D101" s="32" t="s">
        <v>38</v>
      </c>
      <c r="E101" s="45" t="s">
        <v>133</v>
      </c>
      <c r="F101" s="12">
        <v>30</v>
      </c>
      <c r="G101" s="12">
        <f>SUM(F101*1.68/30)</f>
        <v>1.68</v>
      </c>
      <c r="H101" s="12">
        <f>SUM(F101*0.33/30)</f>
        <v>0.33</v>
      </c>
      <c r="I101" s="12">
        <f>SUM(F101*14.82/30)</f>
        <v>14.82</v>
      </c>
      <c r="J101" s="12">
        <f>SUM(F101*68.97/30)</f>
        <v>68.97</v>
      </c>
      <c r="K101" s="46" t="s">
        <v>26</v>
      </c>
      <c r="L101" s="118">
        <v>3.55</v>
      </c>
      <c r="M101" s="57"/>
    </row>
    <row r="102" spans="1:13" ht="15.75">
      <c r="A102" s="3"/>
      <c r="B102" s="4"/>
      <c r="C102" s="31"/>
      <c r="D102" s="33"/>
      <c r="E102" s="58"/>
      <c r="F102" s="65"/>
      <c r="G102" s="65"/>
      <c r="H102" s="65"/>
      <c r="I102" s="65"/>
      <c r="J102" s="65"/>
      <c r="K102" s="46"/>
      <c r="L102" s="118"/>
      <c r="M102" s="57"/>
    </row>
    <row r="103" spans="1:13" ht="15.75">
      <c r="A103" s="25"/>
      <c r="B103" s="26"/>
      <c r="C103" s="34"/>
      <c r="D103" s="35" t="s">
        <v>28</v>
      </c>
      <c r="E103" s="59"/>
      <c r="F103" s="60">
        <f t="shared" ref="F103:J103" si="28">SUM(F97:F102)</f>
        <v>580</v>
      </c>
      <c r="G103" s="60">
        <f t="shared" si="28"/>
        <v>16.78</v>
      </c>
      <c r="H103" s="60">
        <f t="shared" si="28"/>
        <v>17.529999999999998</v>
      </c>
      <c r="I103" s="60">
        <f t="shared" si="28"/>
        <v>96.93</v>
      </c>
      <c r="J103" s="60">
        <f t="shared" si="28"/>
        <v>612.81000000000006</v>
      </c>
      <c r="K103" s="82"/>
      <c r="L103" s="107">
        <f>SUM(L97:L102)</f>
        <v>119.2</v>
      </c>
      <c r="M103" s="57"/>
    </row>
    <row r="104" spans="1:13" ht="47.25">
      <c r="A104" s="5">
        <f>A97</f>
        <v>2</v>
      </c>
      <c r="B104" s="6">
        <f>B97</f>
        <v>1</v>
      </c>
      <c r="C104" s="36" t="s">
        <v>29</v>
      </c>
      <c r="D104" s="32" t="s">
        <v>30</v>
      </c>
      <c r="E104" s="15" t="s">
        <v>147</v>
      </c>
      <c r="F104" s="12">
        <v>80</v>
      </c>
      <c r="G104" s="12">
        <f>F104*1.5/60</f>
        <v>2</v>
      </c>
      <c r="H104" s="12">
        <f>F104*6/60</f>
        <v>8</v>
      </c>
      <c r="I104" s="12">
        <f>F104*4.25/60</f>
        <v>5.666666666666667</v>
      </c>
      <c r="J104" s="12">
        <f>F104*76.8/60</f>
        <v>102.4</v>
      </c>
      <c r="K104" s="13">
        <v>44409</v>
      </c>
      <c r="L104" s="123">
        <v>17.32</v>
      </c>
      <c r="M104" s="57"/>
    </row>
    <row r="105" spans="1:13" ht="31.5">
      <c r="A105" s="3"/>
      <c r="B105" s="4"/>
      <c r="C105" s="31"/>
      <c r="D105" s="32" t="s">
        <v>31</v>
      </c>
      <c r="E105" s="15" t="s">
        <v>146</v>
      </c>
      <c r="F105" s="12">
        <v>200</v>
      </c>
      <c r="G105" s="12">
        <f>F105*4.46/200</f>
        <v>4.46</v>
      </c>
      <c r="H105" s="12">
        <f>F105*4.66/200</f>
        <v>4.66</v>
      </c>
      <c r="I105" s="12">
        <f>F105*18.04/200</f>
        <v>18.04</v>
      </c>
      <c r="J105" s="12">
        <f>F105*132/200</f>
        <v>132</v>
      </c>
      <c r="K105" s="13" t="s">
        <v>86</v>
      </c>
      <c r="L105" s="123">
        <v>29.83</v>
      </c>
      <c r="M105" s="57"/>
    </row>
    <row r="106" spans="1:13" ht="15.75">
      <c r="A106" s="3"/>
      <c r="B106" s="4"/>
      <c r="C106" s="31"/>
      <c r="D106" s="32" t="s">
        <v>85</v>
      </c>
      <c r="E106" s="14" t="s">
        <v>78</v>
      </c>
      <c r="F106" s="12">
        <v>20</v>
      </c>
      <c r="G106" s="12">
        <f>F106*1.71/20</f>
        <v>1.7100000000000002</v>
      </c>
      <c r="H106" s="12">
        <f>F106*0.17/20</f>
        <v>0.17</v>
      </c>
      <c r="I106" s="12">
        <f>F106*10.75/20</f>
        <v>10.75</v>
      </c>
      <c r="J106" s="12">
        <f>F106*51.4/20</f>
        <v>51.4</v>
      </c>
      <c r="K106" s="13" t="s">
        <v>87</v>
      </c>
      <c r="L106" s="123">
        <v>8.64</v>
      </c>
      <c r="M106" s="57"/>
    </row>
    <row r="107" spans="1:13" ht="15.75">
      <c r="A107" s="3"/>
      <c r="B107" s="4"/>
      <c r="C107" s="31"/>
      <c r="D107" s="32" t="s">
        <v>32</v>
      </c>
      <c r="E107" s="14" t="s">
        <v>41</v>
      </c>
      <c r="F107" s="12">
        <v>100</v>
      </c>
      <c r="G107" s="12">
        <f>F107*13.32/90</f>
        <v>14.8</v>
      </c>
      <c r="H107" s="12">
        <f>F107*11.16/90</f>
        <v>12.4</v>
      </c>
      <c r="I107" s="12">
        <f>F107*8.19/90</f>
        <v>9.1</v>
      </c>
      <c r="J107" s="12">
        <f>F107*186.3/90</f>
        <v>207</v>
      </c>
      <c r="K107" s="46">
        <v>44325</v>
      </c>
      <c r="L107" s="123">
        <v>70.290000000000006</v>
      </c>
      <c r="M107" s="57"/>
    </row>
    <row r="108" spans="1:13" ht="15.75">
      <c r="A108" s="3"/>
      <c r="B108" s="4"/>
      <c r="C108" s="31"/>
      <c r="D108" s="32" t="s">
        <v>33</v>
      </c>
      <c r="E108" s="15" t="s">
        <v>47</v>
      </c>
      <c r="F108" s="12">
        <v>150</v>
      </c>
      <c r="G108" s="12">
        <f>F108*6.63/150</f>
        <v>6.63</v>
      </c>
      <c r="H108" s="12">
        <f>F108*4.44/150</f>
        <v>4.4400000000000004</v>
      </c>
      <c r="I108" s="12">
        <f>F108*28.8/150</f>
        <v>28.8</v>
      </c>
      <c r="J108" s="12">
        <f>F108*181.5/150</f>
        <v>181.5</v>
      </c>
      <c r="K108" s="13" t="s">
        <v>66</v>
      </c>
      <c r="L108" s="123">
        <v>8.6199999999999992</v>
      </c>
      <c r="M108" s="57"/>
    </row>
    <row r="109" spans="1:13" ht="15.75">
      <c r="A109" s="3"/>
      <c r="B109" s="4"/>
      <c r="C109" s="31"/>
      <c r="D109" s="32" t="s">
        <v>91</v>
      </c>
      <c r="E109" s="44" t="s">
        <v>113</v>
      </c>
      <c r="F109" s="56">
        <v>200</v>
      </c>
      <c r="G109" s="56">
        <v>1</v>
      </c>
      <c r="H109" s="56">
        <v>0</v>
      </c>
      <c r="I109" s="56">
        <v>27.4</v>
      </c>
      <c r="J109" s="56">
        <v>114</v>
      </c>
      <c r="K109" s="13" t="s">
        <v>114</v>
      </c>
      <c r="L109" s="123">
        <v>12.1</v>
      </c>
      <c r="M109" s="57"/>
    </row>
    <row r="110" spans="1:13" ht="15.75">
      <c r="A110" s="3"/>
      <c r="B110" s="4"/>
      <c r="C110" s="31"/>
      <c r="D110" s="32" t="s">
        <v>38</v>
      </c>
      <c r="E110" s="14" t="s">
        <v>133</v>
      </c>
      <c r="F110" s="12">
        <v>33</v>
      </c>
      <c r="G110" s="12">
        <f>SUM(F110*1.68/30)</f>
        <v>1.8479999999999999</v>
      </c>
      <c r="H110" s="12">
        <f>SUM(F110*0.33/30)</f>
        <v>0.36300000000000004</v>
      </c>
      <c r="I110" s="12">
        <f>SUM(F110*14.82/30)</f>
        <v>16.302</v>
      </c>
      <c r="J110" s="12">
        <f>SUM(F110*68.97/30)</f>
        <v>75.86699999999999</v>
      </c>
      <c r="K110" s="13" t="s">
        <v>40</v>
      </c>
      <c r="L110" s="123">
        <v>3.91</v>
      </c>
      <c r="M110" s="57"/>
    </row>
    <row r="111" spans="1:13" ht="15.75">
      <c r="A111" s="3"/>
      <c r="B111" s="4"/>
      <c r="C111" s="31"/>
      <c r="D111" s="33"/>
      <c r="E111" s="15"/>
      <c r="F111" s="12"/>
      <c r="G111" s="12"/>
      <c r="H111" s="12"/>
      <c r="I111" s="12"/>
      <c r="J111" s="12"/>
      <c r="K111" s="13"/>
      <c r="L111" s="123"/>
      <c r="M111" s="57"/>
    </row>
    <row r="112" spans="1:13" ht="15.75">
      <c r="A112" s="25"/>
      <c r="B112" s="26"/>
      <c r="C112" s="34"/>
      <c r="D112" s="35" t="s">
        <v>28</v>
      </c>
      <c r="E112" s="59"/>
      <c r="F112" s="60">
        <f t="shared" ref="F112:J112" si="29">SUM(F104:F111)</f>
        <v>783</v>
      </c>
      <c r="G112" s="60">
        <f t="shared" si="29"/>
        <v>32.448</v>
      </c>
      <c r="H112" s="60">
        <f t="shared" si="29"/>
        <v>30.033000000000001</v>
      </c>
      <c r="I112" s="60">
        <f t="shared" si="29"/>
        <v>116.05866666666665</v>
      </c>
      <c r="J112" s="60">
        <f t="shared" si="29"/>
        <v>864.16699999999992</v>
      </c>
      <c r="K112" s="82"/>
      <c r="L112" s="107">
        <f>SUM(L104:L111)-0.01</f>
        <v>150.70000000000002</v>
      </c>
      <c r="M112" s="57"/>
    </row>
    <row r="113" spans="1:16" ht="16.5" thickBot="1">
      <c r="A113" s="27">
        <f>A97</f>
        <v>2</v>
      </c>
      <c r="B113" s="28">
        <f>B97</f>
        <v>1</v>
      </c>
      <c r="C113" s="138" t="s">
        <v>39</v>
      </c>
      <c r="D113" s="139"/>
      <c r="E113" s="64"/>
      <c r="F113" s="66">
        <f>F103+F112</f>
        <v>1363</v>
      </c>
      <c r="G113" s="66">
        <f>G103+G112</f>
        <v>49.228000000000002</v>
      </c>
      <c r="H113" s="66">
        <f>H103+H112</f>
        <v>47.563000000000002</v>
      </c>
      <c r="I113" s="66">
        <f>I103+I112</f>
        <v>212.98866666666666</v>
      </c>
      <c r="J113" s="66">
        <f>J103+J112</f>
        <v>1476.9769999999999</v>
      </c>
      <c r="K113" s="83"/>
      <c r="L113" s="119">
        <f>L103+L112</f>
        <v>269.90000000000003</v>
      </c>
      <c r="M113" s="57"/>
    </row>
    <row r="114" spans="1:16" ht="47.25">
      <c r="A114" s="7">
        <v>2</v>
      </c>
      <c r="B114" s="4">
        <v>2</v>
      </c>
      <c r="C114" s="29" t="s">
        <v>21</v>
      </c>
      <c r="D114" s="30" t="s">
        <v>22</v>
      </c>
      <c r="E114" s="14" t="s">
        <v>93</v>
      </c>
      <c r="F114" s="12">
        <v>207</v>
      </c>
      <c r="G114" s="12">
        <f>F114*30.42/180</f>
        <v>34.983000000000004</v>
      </c>
      <c r="H114" s="12">
        <f>F114*17.28/180</f>
        <v>19.872</v>
      </c>
      <c r="I114" s="12">
        <f>F114*23.76/180</f>
        <v>27.324000000000005</v>
      </c>
      <c r="J114" s="12">
        <f>F114*372.6/180</f>
        <v>428.49000000000007</v>
      </c>
      <c r="K114" s="47">
        <v>4443</v>
      </c>
      <c r="L114" s="117">
        <v>82</v>
      </c>
      <c r="M114" s="57"/>
      <c r="P114" s="49">
        <v>23.76</v>
      </c>
    </row>
    <row r="115" spans="1:16" ht="15.75">
      <c r="A115" s="7"/>
      <c r="B115" s="4"/>
      <c r="C115" s="31"/>
      <c r="D115" s="32" t="s">
        <v>36</v>
      </c>
      <c r="E115" s="14" t="s">
        <v>65</v>
      </c>
      <c r="F115" s="12">
        <v>70</v>
      </c>
      <c r="G115" s="12">
        <f>F115*4.48/70</f>
        <v>4.4800000000000004</v>
      </c>
      <c r="H115" s="12">
        <f>F115*10.78/70</f>
        <v>10.78</v>
      </c>
      <c r="I115" s="12">
        <f>F115*27.3/70</f>
        <v>27.3</v>
      </c>
      <c r="J115" s="12">
        <f>F115*224/70</f>
        <v>224</v>
      </c>
      <c r="K115" s="46">
        <v>44209</v>
      </c>
      <c r="L115" s="118">
        <v>27.33</v>
      </c>
      <c r="M115" s="57"/>
    </row>
    <row r="116" spans="1:16" ht="15.75">
      <c r="A116" s="7"/>
      <c r="B116" s="4"/>
      <c r="C116" s="31"/>
      <c r="D116" s="32" t="s">
        <v>23</v>
      </c>
      <c r="E116" s="14" t="s">
        <v>63</v>
      </c>
      <c r="F116" s="18">
        <v>200</v>
      </c>
      <c r="G116" s="12">
        <v>0.2</v>
      </c>
      <c r="H116" s="12">
        <v>0</v>
      </c>
      <c r="I116" s="12">
        <v>13.7</v>
      </c>
      <c r="J116" s="12">
        <v>56</v>
      </c>
      <c r="K116" s="46" t="s">
        <v>64</v>
      </c>
      <c r="L116" s="118">
        <v>3.83</v>
      </c>
      <c r="M116" s="57"/>
    </row>
    <row r="117" spans="1:16" ht="15.75">
      <c r="A117" s="7"/>
      <c r="B117" s="4"/>
      <c r="C117" s="31"/>
      <c r="D117" s="32" t="s">
        <v>38</v>
      </c>
      <c r="E117" s="14" t="s">
        <v>133</v>
      </c>
      <c r="F117" s="12">
        <v>51</v>
      </c>
      <c r="G117" s="12">
        <f>SUM(F117*2.8/50)</f>
        <v>2.8559999999999999</v>
      </c>
      <c r="H117" s="12">
        <f>SUM(F117*0.55/50)</f>
        <v>0.56100000000000005</v>
      </c>
      <c r="I117" s="12">
        <f>SUM(F117*24.7/50)</f>
        <v>25.194000000000003</v>
      </c>
      <c r="J117" s="12">
        <f>SUM(F117*114.95/50)</f>
        <v>117.249</v>
      </c>
      <c r="K117" s="46" t="s">
        <v>26</v>
      </c>
      <c r="L117" s="118">
        <v>6.04</v>
      </c>
      <c r="M117" s="57"/>
    </row>
    <row r="118" spans="1:16" ht="15.75">
      <c r="A118" s="7"/>
      <c r="B118" s="4"/>
      <c r="C118" s="31"/>
      <c r="D118" s="33"/>
      <c r="E118" s="14"/>
      <c r="F118" s="12"/>
      <c r="G118" s="12"/>
      <c r="H118" s="12"/>
      <c r="I118" s="12"/>
      <c r="J118" s="12"/>
      <c r="K118" s="46"/>
      <c r="L118" s="118"/>
      <c r="M118" s="57"/>
    </row>
    <row r="119" spans="1:16" ht="15.75">
      <c r="A119" s="7"/>
      <c r="B119" s="4"/>
      <c r="C119" s="31"/>
      <c r="D119" s="33"/>
      <c r="E119" s="58"/>
      <c r="F119" s="65"/>
      <c r="G119" s="65"/>
      <c r="H119" s="65"/>
      <c r="I119" s="65"/>
      <c r="J119" s="65"/>
      <c r="K119" s="46"/>
      <c r="L119" s="118"/>
      <c r="M119" s="57"/>
    </row>
    <row r="120" spans="1:16" ht="15.75">
      <c r="A120" s="37"/>
      <c r="B120" s="26"/>
      <c r="C120" s="34"/>
      <c r="D120" s="35" t="s">
        <v>28</v>
      </c>
      <c r="E120" s="59"/>
      <c r="F120" s="60">
        <f>SUM(F114:F119)</f>
        <v>528</v>
      </c>
      <c r="G120" s="60">
        <f>SUM(G114:G119)</f>
        <v>42.519000000000013</v>
      </c>
      <c r="H120" s="60">
        <f>SUM(H114:H119)</f>
        <v>31.213000000000001</v>
      </c>
      <c r="I120" s="60">
        <f>SUM(I114:I119)</f>
        <v>93.518000000000015</v>
      </c>
      <c r="J120" s="60">
        <f>SUM(J114:J119)</f>
        <v>825.73900000000003</v>
      </c>
      <c r="K120" s="82"/>
      <c r="L120" s="107">
        <f>SUM(L114:L119)</f>
        <v>119.2</v>
      </c>
      <c r="M120" s="57"/>
    </row>
    <row r="121" spans="1:16" ht="15.75">
      <c r="A121" s="6">
        <f>A114</f>
        <v>2</v>
      </c>
      <c r="B121" s="6">
        <f>B114</f>
        <v>2</v>
      </c>
      <c r="C121" s="36" t="s">
        <v>29</v>
      </c>
      <c r="D121" s="32" t="s">
        <v>30</v>
      </c>
      <c r="E121" s="15" t="s">
        <v>68</v>
      </c>
      <c r="F121" s="12">
        <v>60</v>
      </c>
      <c r="G121" s="12">
        <f>F121*1.3/100</f>
        <v>0.78</v>
      </c>
      <c r="H121" s="12">
        <f>F121*8.9/100</f>
        <v>5.34</v>
      </c>
      <c r="I121" s="12">
        <f>F121*6.7/100</f>
        <v>4.0199999999999996</v>
      </c>
      <c r="J121" s="12">
        <f>F121*112/100</f>
        <v>67.2</v>
      </c>
      <c r="K121" s="46">
        <v>72</v>
      </c>
      <c r="L121" s="118">
        <v>10.41</v>
      </c>
      <c r="M121" s="57"/>
    </row>
    <row r="122" spans="1:16" ht="31.5">
      <c r="A122" s="7"/>
      <c r="B122" s="4"/>
      <c r="C122" s="31"/>
      <c r="D122" s="32" t="s">
        <v>31</v>
      </c>
      <c r="E122" s="40" t="s">
        <v>153</v>
      </c>
      <c r="F122" s="12">
        <v>200</v>
      </c>
      <c r="G122" s="12">
        <f>F122*3.9/200</f>
        <v>3.9</v>
      </c>
      <c r="H122" s="12">
        <f>F122*6.02/200</f>
        <v>6.02</v>
      </c>
      <c r="I122" s="12">
        <f>F122*13.88/200</f>
        <v>13.88</v>
      </c>
      <c r="J122" s="12">
        <f>F122*125.6/200</f>
        <v>125.6</v>
      </c>
      <c r="K122" s="46">
        <v>44502</v>
      </c>
      <c r="L122" s="118">
        <v>29.78</v>
      </c>
      <c r="M122" s="57"/>
    </row>
    <row r="123" spans="1:16" ht="31.5">
      <c r="A123" s="7"/>
      <c r="B123" s="4"/>
      <c r="C123" s="31"/>
      <c r="D123" s="32" t="s">
        <v>32</v>
      </c>
      <c r="E123" s="45" t="s">
        <v>108</v>
      </c>
      <c r="F123" s="11">
        <v>99</v>
      </c>
      <c r="G123" s="12">
        <f>F123*11.7/90</f>
        <v>12.87</v>
      </c>
      <c r="H123" s="12">
        <f>F123*11.61/90</f>
        <v>12.770999999999999</v>
      </c>
      <c r="I123" s="12">
        <f>F123*5.76/90</f>
        <v>6.3360000000000003</v>
      </c>
      <c r="J123" s="12">
        <f>F123*174.6/90</f>
        <v>192.05999999999997</v>
      </c>
      <c r="K123" s="13" t="s">
        <v>111</v>
      </c>
      <c r="L123" s="118">
        <v>79.33</v>
      </c>
      <c r="M123" s="57"/>
    </row>
    <row r="124" spans="1:16" ht="15.75">
      <c r="A124" s="7"/>
      <c r="B124" s="4"/>
      <c r="C124" s="31"/>
      <c r="D124" s="32" t="s">
        <v>33</v>
      </c>
      <c r="E124" s="45" t="s">
        <v>34</v>
      </c>
      <c r="F124" s="11">
        <v>150</v>
      </c>
      <c r="G124" s="12">
        <f>F124*5.33/150</f>
        <v>5.33</v>
      </c>
      <c r="H124" s="12">
        <f>F124*3/150</f>
        <v>3</v>
      </c>
      <c r="I124" s="12">
        <f>F124*32.4/150</f>
        <v>32.4</v>
      </c>
      <c r="J124" s="12">
        <f>F124*177.75/150</f>
        <v>177.75</v>
      </c>
      <c r="K124" s="13" t="s">
        <v>71</v>
      </c>
      <c r="L124" s="118">
        <v>9.99</v>
      </c>
      <c r="M124" s="57"/>
    </row>
    <row r="125" spans="1:16" ht="15.75">
      <c r="A125" s="7"/>
      <c r="B125" s="4"/>
      <c r="C125" s="31"/>
      <c r="D125" s="32" t="s">
        <v>91</v>
      </c>
      <c r="E125" s="45" t="s">
        <v>115</v>
      </c>
      <c r="F125" s="56">
        <v>200</v>
      </c>
      <c r="G125" s="56">
        <v>0.4</v>
      </c>
      <c r="H125" s="56">
        <v>0.4</v>
      </c>
      <c r="I125" s="56">
        <v>18.7</v>
      </c>
      <c r="J125" s="56">
        <v>80</v>
      </c>
      <c r="K125" s="13" t="s">
        <v>116</v>
      </c>
      <c r="L125" s="118">
        <v>13.8</v>
      </c>
      <c r="M125" s="57"/>
    </row>
    <row r="126" spans="1:16" ht="31.5">
      <c r="A126" s="7"/>
      <c r="B126" s="4"/>
      <c r="C126" s="31"/>
      <c r="D126" s="32" t="s">
        <v>36</v>
      </c>
      <c r="E126" s="14" t="s">
        <v>37</v>
      </c>
      <c r="F126" s="12">
        <v>30</v>
      </c>
      <c r="G126" s="12">
        <f>SUM(F126*2.37/30)</f>
        <v>2.37</v>
      </c>
      <c r="H126" s="12">
        <f>SUM(F126*0.3/30)</f>
        <v>0.3</v>
      </c>
      <c r="I126" s="12">
        <f>SUM(F126*14.49/30)</f>
        <v>14.49</v>
      </c>
      <c r="J126" s="12">
        <f>SUM(F126*70.14/30)</f>
        <v>70.14</v>
      </c>
      <c r="K126" s="13" t="s">
        <v>26</v>
      </c>
      <c r="L126" s="118">
        <v>3.84</v>
      </c>
      <c r="M126" s="57"/>
    </row>
    <row r="127" spans="1:16" ht="15.75">
      <c r="A127" s="7"/>
      <c r="B127" s="4"/>
      <c r="C127" s="31"/>
      <c r="D127" s="32" t="s">
        <v>38</v>
      </c>
      <c r="E127" s="45" t="s">
        <v>133</v>
      </c>
      <c r="F127" s="12">
        <v>30</v>
      </c>
      <c r="G127" s="12">
        <f>SUM(F127*1.68/30)</f>
        <v>1.68</v>
      </c>
      <c r="H127" s="12">
        <f>SUM(F127*0.33/30)</f>
        <v>0.33</v>
      </c>
      <c r="I127" s="12">
        <f>SUM(F127*14.82/30)</f>
        <v>14.82</v>
      </c>
      <c r="J127" s="12">
        <f>SUM(F127*68.97/30)</f>
        <v>68.97</v>
      </c>
      <c r="K127" s="13" t="s">
        <v>26</v>
      </c>
      <c r="L127" s="118">
        <v>3.55</v>
      </c>
      <c r="M127" s="57"/>
    </row>
    <row r="128" spans="1:16" ht="15.75">
      <c r="A128" s="7"/>
      <c r="B128" s="4"/>
      <c r="C128" s="31"/>
      <c r="D128" s="33"/>
      <c r="E128" s="58"/>
      <c r="F128" s="65"/>
      <c r="G128" s="65"/>
      <c r="H128" s="65"/>
      <c r="I128" s="65"/>
      <c r="J128" s="65"/>
      <c r="K128" s="46"/>
      <c r="L128" s="118"/>
      <c r="M128" s="57"/>
    </row>
    <row r="129" spans="1:13" ht="15.75">
      <c r="A129" s="7"/>
      <c r="B129" s="4"/>
      <c r="C129" s="31"/>
      <c r="D129" s="33"/>
      <c r="E129" s="58"/>
      <c r="F129" s="65"/>
      <c r="G129" s="65"/>
      <c r="H129" s="65"/>
      <c r="I129" s="65"/>
      <c r="J129" s="65"/>
      <c r="K129" s="46"/>
      <c r="L129" s="118"/>
      <c r="M129" s="57"/>
    </row>
    <row r="130" spans="1:13" ht="15.75">
      <c r="A130" s="37"/>
      <c r="B130" s="26"/>
      <c r="C130" s="34"/>
      <c r="D130" s="35" t="s">
        <v>28</v>
      </c>
      <c r="E130" s="59"/>
      <c r="F130" s="60">
        <f>SUM(F121:F129)</f>
        <v>769</v>
      </c>
      <c r="G130" s="60">
        <f>SUM(G121:G129)</f>
        <v>27.329999999999995</v>
      </c>
      <c r="H130" s="60">
        <f t="shared" ref="H130:J130" si="30">SUM(H121:H129)</f>
        <v>28.160999999999998</v>
      </c>
      <c r="I130" s="60">
        <f t="shared" si="30"/>
        <v>104.64599999999999</v>
      </c>
      <c r="J130" s="60">
        <f t="shared" si="30"/>
        <v>781.72</v>
      </c>
      <c r="K130" s="82"/>
      <c r="L130" s="107">
        <f>SUM(L121:L129)</f>
        <v>150.70000000000002</v>
      </c>
      <c r="M130" s="57"/>
    </row>
    <row r="131" spans="1:13" ht="16.5" thickBot="1">
      <c r="A131" s="38">
        <f>A114</f>
        <v>2</v>
      </c>
      <c r="B131" s="38">
        <f>B114</f>
        <v>2</v>
      </c>
      <c r="C131" s="138" t="s">
        <v>39</v>
      </c>
      <c r="D131" s="139"/>
      <c r="E131" s="64"/>
      <c r="F131" s="66">
        <f>F120+F130</f>
        <v>1297</v>
      </c>
      <c r="G131" s="66">
        <f>G120+G130-0.01</f>
        <v>69.838999999999999</v>
      </c>
      <c r="H131" s="66">
        <f t="shared" ref="H131" si="31">H120+H130</f>
        <v>59.373999999999995</v>
      </c>
      <c r="I131" s="66">
        <f t="shared" ref="I131" si="32">I120+I130</f>
        <v>198.16399999999999</v>
      </c>
      <c r="J131" s="66">
        <f t="shared" ref="J131" si="33">J120+J130</f>
        <v>1607.4590000000001</v>
      </c>
      <c r="K131" s="83"/>
      <c r="L131" s="119">
        <f>L120+L130</f>
        <v>269.90000000000003</v>
      </c>
      <c r="M131" s="57"/>
    </row>
    <row r="132" spans="1:13" ht="15.75">
      <c r="A132" s="1">
        <v>2</v>
      </c>
      <c r="B132" s="2">
        <v>3</v>
      </c>
      <c r="C132" s="29" t="s">
        <v>21</v>
      </c>
      <c r="D132" s="30" t="s">
        <v>32</v>
      </c>
      <c r="E132" s="15" t="s">
        <v>70</v>
      </c>
      <c r="F132" s="12">
        <v>90</v>
      </c>
      <c r="G132" s="12">
        <f>F132*10.44/90</f>
        <v>10.44</v>
      </c>
      <c r="H132" s="12">
        <f>F132*10.89/90</f>
        <v>10.89</v>
      </c>
      <c r="I132" s="12">
        <f>F132*10.08/90</f>
        <v>10.08</v>
      </c>
      <c r="J132" s="12">
        <f>F132*180/90</f>
        <v>180</v>
      </c>
      <c r="K132" s="13">
        <v>44236</v>
      </c>
      <c r="L132" s="117">
        <v>59.73</v>
      </c>
      <c r="M132" s="57"/>
    </row>
    <row r="133" spans="1:13" ht="31.5">
      <c r="A133" s="3"/>
      <c r="B133" s="4"/>
      <c r="C133" s="31"/>
      <c r="D133" s="33" t="s">
        <v>33</v>
      </c>
      <c r="E133" s="45" t="s">
        <v>117</v>
      </c>
      <c r="F133" s="56">
        <v>150</v>
      </c>
      <c r="G133" s="56">
        <f>F133*8.63/150</f>
        <v>8.6300000000000008</v>
      </c>
      <c r="H133" s="56">
        <f>F133*6.83/150</f>
        <v>6.83</v>
      </c>
      <c r="I133" s="56">
        <f>F133*37.8/150</f>
        <v>37.799999999999997</v>
      </c>
      <c r="J133" s="56">
        <f>F133*266.25/150</f>
        <v>266.25</v>
      </c>
      <c r="K133" s="46" t="s">
        <v>90</v>
      </c>
      <c r="L133" s="118">
        <v>17.07</v>
      </c>
      <c r="M133" s="57"/>
    </row>
    <row r="134" spans="1:13" ht="15.75">
      <c r="A134" s="3"/>
      <c r="B134" s="4"/>
      <c r="C134" s="31"/>
      <c r="D134" s="32" t="s">
        <v>23</v>
      </c>
      <c r="E134" s="45" t="s">
        <v>57</v>
      </c>
      <c r="F134" s="56">
        <v>200</v>
      </c>
      <c r="G134" s="56">
        <v>0.2</v>
      </c>
      <c r="H134" s="56">
        <v>0.1</v>
      </c>
      <c r="I134" s="56">
        <v>13.1</v>
      </c>
      <c r="J134" s="56">
        <v>54</v>
      </c>
      <c r="K134" s="46" t="s">
        <v>58</v>
      </c>
      <c r="L134" s="118">
        <v>16.440000000000001</v>
      </c>
      <c r="M134" s="57"/>
    </row>
    <row r="135" spans="1:13" ht="31.5">
      <c r="A135" s="3"/>
      <c r="B135" s="4"/>
      <c r="C135" s="31"/>
      <c r="D135" s="32" t="s">
        <v>36</v>
      </c>
      <c r="E135" s="14" t="s">
        <v>37</v>
      </c>
      <c r="F135" s="12">
        <v>30</v>
      </c>
      <c r="G135" s="12">
        <f>SUM(F135*2.37/30)</f>
        <v>2.37</v>
      </c>
      <c r="H135" s="12">
        <f>SUM(F135*0.3/30)</f>
        <v>0.3</v>
      </c>
      <c r="I135" s="12">
        <f>SUM(F135*14.49/30)</f>
        <v>14.49</v>
      </c>
      <c r="J135" s="12">
        <f>SUM(F135*70.14/30)</f>
        <v>70.14</v>
      </c>
      <c r="K135" s="13" t="s">
        <v>26</v>
      </c>
      <c r="L135" s="118">
        <v>3.84</v>
      </c>
      <c r="M135" s="57"/>
    </row>
    <row r="136" spans="1:13" ht="16.5" thickBot="1">
      <c r="A136" s="3"/>
      <c r="B136" s="4"/>
      <c r="C136" s="31"/>
      <c r="D136" s="32" t="s">
        <v>38</v>
      </c>
      <c r="E136" s="45" t="s">
        <v>133</v>
      </c>
      <c r="F136" s="12">
        <v>34</v>
      </c>
      <c r="G136" s="12">
        <f>SUM(F136*1.68/30)</f>
        <v>1.9039999999999999</v>
      </c>
      <c r="H136" s="12">
        <f>SUM(F136*0.33/30)</f>
        <v>0.374</v>
      </c>
      <c r="I136" s="12">
        <f>SUM(F136*14.82/30)</f>
        <v>16.795999999999999</v>
      </c>
      <c r="J136" s="12">
        <f>SUM(F136*68.97/30)</f>
        <v>78.165999999999997</v>
      </c>
      <c r="K136" s="13" t="s">
        <v>40</v>
      </c>
      <c r="L136" s="118">
        <v>4.03</v>
      </c>
      <c r="M136" s="57"/>
    </row>
    <row r="137" spans="1:13" ht="32.25" thickBot="1">
      <c r="A137" s="3"/>
      <c r="B137" s="4"/>
      <c r="C137" s="31"/>
      <c r="D137" s="33"/>
      <c r="E137" s="93" t="s">
        <v>155</v>
      </c>
      <c r="F137" s="41">
        <v>23</v>
      </c>
      <c r="G137" s="41">
        <v>0.69</v>
      </c>
      <c r="H137" s="41">
        <v>0.94</v>
      </c>
      <c r="I137" s="41">
        <v>1.47</v>
      </c>
      <c r="J137" s="41">
        <v>17.25</v>
      </c>
      <c r="K137" s="84" t="s">
        <v>154</v>
      </c>
      <c r="L137" s="118">
        <v>18.100000000000001</v>
      </c>
      <c r="M137" s="57"/>
    </row>
    <row r="138" spans="1:13" ht="15.75">
      <c r="A138" s="3"/>
      <c r="B138" s="4"/>
      <c r="C138" s="31"/>
      <c r="D138" s="33"/>
      <c r="E138" s="67"/>
      <c r="F138" s="65"/>
      <c r="G138" s="65"/>
      <c r="H138" s="65"/>
      <c r="I138" s="65"/>
      <c r="J138" s="65"/>
      <c r="K138" s="46"/>
      <c r="L138" s="118"/>
      <c r="M138" s="57"/>
    </row>
    <row r="139" spans="1:13" ht="15.75">
      <c r="A139" s="25"/>
      <c r="B139" s="26"/>
      <c r="C139" s="34"/>
      <c r="D139" s="35" t="s">
        <v>28</v>
      </c>
      <c r="E139" s="59"/>
      <c r="F139" s="71">
        <f>SUM(F132:F138)</f>
        <v>527</v>
      </c>
      <c r="G139" s="60">
        <f>SUM(G132:G138)</f>
        <v>24.234000000000002</v>
      </c>
      <c r="H139" s="60">
        <f>SUM(H132:H138)</f>
        <v>19.434000000000001</v>
      </c>
      <c r="I139" s="60">
        <f t="shared" ref="I139:J139" si="34">SUM(I132:I138)</f>
        <v>93.73599999999999</v>
      </c>
      <c r="J139" s="60">
        <f t="shared" si="34"/>
        <v>665.80600000000004</v>
      </c>
      <c r="K139" s="82"/>
      <c r="L139" s="107">
        <f>SUM(L132:L138)-0.01</f>
        <v>119.2</v>
      </c>
      <c r="M139" s="57"/>
    </row>
    <row r="140" spans="1:13" ht="15.75">
      <c r="A140" s="5">
        <f>A132</f>
        <v>2</v>
      </c>
      <c r="B140" s="6">
        <f>B132</f>
        <v>3</v>
      </c>
      <c r="C140" s="36" t="s">
        <v>29</v>
      </c>
      <c r="D140" s="32" t="s">
        <v>30</v>
      </c>
      <c r="E140" s="61" t="s">
        <v>118</v>
      </c>
      <c r="F140" s="56">
        <v>80</v>
      </c>
      <c r="G140" s="56">
        <f>F140*3.06/60</f>
        <v>4.08</v>
      </c>
      <c r="H140" s="56">
        <f>F140*9.36/60</f>
        <v>12.479999999999999</v>
      </c>
      <c r="I140" s="56">
        <f>F140*8.1/60</f>
        <v>10.8</v>
      </c>
      <c r="J140" s="56">
        <f>F140*128.76/60</f>
        <v>171.67999999999998</v>
      </c>
      <c r="K140" s="46" t="s">
        <v>119</v>
      </c>
      <c r="L140" s="118">
        <v>10.050000000000001</v>
      </c>
      <c r="M140" s="57"/>
    </row>
    <row r="141" spans="1:13" ht="31.5">
      <c r="A141" s="3"/>
      <c r="B141" s="4"/>
      <c r="C141" s="31"/>
      <c r="D141" s="32" t="s">
        <v>31</v>
      </c>
      <c r="E141" s="44" t="s">
        <v>156</v>
      </c>
      <c r="F141" s="56">
        <v>200</v>
      </c>
      <c r="G141" s="56">
        <f>F141*3.42/200</f>
        <v>3.42</v>
      </c>
      <c r="H141" s="56">
        <f>F141*4.98/200</f>
        <v>4.9800000000000004</v>
      </c>
      <c r="I141" s="56">
        <f>F141*7/200</f>
        <v>7</v>
      </c>
      <c r="J141" s="56">
        <f>F141*87.2/200</f>
        <v>87.2</v>
      </c>
      <c r="K141" s="13">
        <v>44379</v>
      </c>
      <c r="L141" s="118">
        <v>23.36</v>
      </c>
      <c r="M141" s="57"/>
    </row>
    <row r="142" spans="1:13" ht="15.75">
      <c r="A142" s="3"/>
      <c r="B142" s="4"/>
      <c r="C142" s="31"/>
      <c r="D142" s="32" t="s">
        <v>32</v>
      </c>
      <c r="E142" s="44" t="s">
        <v>69</v>
      </c>
      <c r="F142" s="56">
        <v>100</v>
      </c>
      <c r="G142" s="56">
        <f>F142*10.07/100</f>
        <v>10.07</v>
      </c>
      <c r="H142" s="56">
        <f>F142*7.08/100</f>
        <v>7.08</v>
      </c>
      <c r="I142" s="56">
        <f>F142*9.05/100</f>
        <v>9.0500000000000007</v>
      </c>
      <c r="J142" s="56">
        <f>F142*140.77/100</f>
        <v>140.77000000000001</v>
      </c>
      <c r="K142" s="17" t="s">
        <v>120</v>
      </c>
      <c r="L142" s="118">
        <v>85.87</v>
      </c>
      <c r="M142" s="57"/>
    </row>
    <row r="143" spans="1:13" ht="15.75">
      <c r="A143" s="3"/>
      <c r="B143" s="4"/>
      <c r="C143" s="31"/>
      <c r="D143" s="32" t="s">
        <v>33</v>
      </c>
      <c r="E143" s="44" t="s">
        <v>53</v>
      </c>
      <c r="F143" s="12">
        <v>150</v>
      </c>
      <c r="G143" s="12">
        <f>F143*3.17/150</f>
        <v>3.17</v>
      </c>
      <c r="H143" s="12">
        <f>F143*3.6/150</f>
        <v>3.6</v>
      </c>
      <c r="I143" s="12">
        <f>F143*20.4/150</f>
        <v>20.399999999999999</v>
      </c>
      <c r="J143" s="12">
        <f>F143*128/150</f>
        <v>128</v>
      </c>
      <c r="K143" s="46" t="s">
        <v>121</v>
      </c>
      <c r="L143" s="118">
        <v>18.170000000000002</v>
      </c>
      <c r="M143" s="57"/>
    </row>
    <row r="144" spans="1:13" ht="15.75">
      <c r="A144" s="3"/>
      <c r="B144" s="4"/>
      <c r="C144" s="31"/>
      <c r="D144" s="32" t="s">
        <v>91</v>
      </c>
      <c r="E144" s="44" t="s">
        <v>48</v>
      </c>
      <c r="F144" s="56">
        <v>200</v>
      </c>
      <c r="G144" s="56">
        <v>0</v>
      </c>
      <c r="H144" s="56">
        <v>0</v>
      </c>
      <c r="I144" s="56">
        <v>27.8</v>
      </c>
      <c r="J144" s="56">
        <v>111</v>
      </c>
      <c r="K144" s="46" t="s">
        <v>122</v>
      </c>
      <c r="L144" s="118">
        <v>5.63</v>
      </c>
      <c r="M144" s="57"/>
    </row>
    <row r="145" spans="1:13" ht="31.5">
      <c r="A145" s="3"/>
      <c r="B145" s="4"/>
      <c r="C145" s="31"/>
      <c r="D145" s="32" t="s">
        <v>36</v>
      </c>
      <c r="E145" s="14" t="s">
        <v>37</v>
      </c>
      <c r="F145" s="12">
        <v>30</v>
      </c>
      <c r="G145" s="12">
        <f>SUM(F145*2.37/30)</f>
        <v>2.37</v>
      </c>
      <c r="H145" s="12">
        <f>SUM(F145*0.3/30)</f>
        <v>0.3</v>
      </c>
      <c r="I145" s="12">
        <f>SUM(F145*14.49/30)</f>
        <v>14.49</v>
      </c>
      <c r="J145" s="12">
        <f>SUM(F145*70.14/30)</f>
        <v>70.14</v>
      </c>
      <c r="K145" s="13" t="s">
        <v>26</v>
      </c>
      <c r="L145" s="118">
        <v>3.84</v>
      </c>
      <c r="M145" s="57"/>
    </row>
    <row r="146" spans="1:13" ht="15.75">
      <c r="A146" s="3"/>
      <c r="B146" s="4"/>
      <c r="C146" s="31"/>
      <c r="D146" s="32" t="s">
        <v>38</v>
      </c>
      <c r="E146" s="45" t="s">
        <v>25</v>
      </c>
      <c r="F146" s="12">
        <v>32</v>
      </c>
      <c r="G146" s="12">
        <f>SUM(F146*1.68/30)</f>
        <v>1.792</v>
      </c>
      <c r="H146" s="12">
        <f>SUM(F146*0.33/30)</f>
        <v>0.35200000000000004</v>
      </c>
      <c r="I146" s="12">
        <f>SUM(F146*14.82/30)</f>
        <v>15.808</v>
      </c>
      <c r="J146" s="12">
        <f>SUM(F146*68.97/30)</f>
        <v>73.567999999999998</v>
      </c>
      <c r="K146" s="13" t="s">
        <v>40</v>
      </c>
      <c r="L146" s="118">
        <v>3.78</v>
      </c>
      <c r="M146" s="57"/>
    </row>
    <row r="147" spans="1:13" ht="15.75">
      <c r="A147" s="3"/>
      <c r="B147" s="4"/>
      <c r="C147" s="31"/>
      <c r="D147" s="33"/>
      <c r="E147" s="58"/>
      <c r="F147" s="65"/>
      <c r="G147" s="65"/>
      <c r="H147" s="65"/>
      <c r="I147" s="65"/>
      <c r="J147" s="65"/>
      <c r="K147" s="46"/>
      <c r="L147" s="118"/>
      <c r="M147" s="57"/>
    </row>
    <row r="148" spans="1:13" ht="15.75">
      <c r="A148" s="100"/>
      <c r="B148" s="101"/>
      <c r="C148" s="102"/>
      <c r="D148" s="103" t="s">
        <v>28</v>
      </c>
      <c r="E148" s="104"/>
      <c r="F148" s="105">
        <f>SUM(F140:F147)</f>
        <v>792</v>
      </c>
      <c r="G148" s="105">
        <f>SUM(G140:G147)</f>
        <v>24.902000000000005</v>
      </c>
      <c r="H148" s="105">
        <f>SUM(H140:H147)</f>
        <v>28.792000000000002</v>
      </c>
      <c r="I148" s="105">
        <f>SUM(I140:I147)</f>
        <v>105.34799999999998</v>
      </c>
      <c r="J148" s="105">
        <f>SUM(J140:J147)</f>
        <v>782.35799999999995</v>
      </c>
      <c r="K148" s="106"/>
      <c r="L148" s="124">
        <f>SUM(L140:L147)</f>
        <v>150.69999999999999</v>
      </c>
      <c r="M148" s="57"/>
    </row>
    <row r="149" spans="1:13" ht="16.5" thickBot="1">
      <c r="A149" s="27">
        <f>A132</f>
        <v>2</v>
      </c>
      <c r="B149" s="28">
        <f>B132</f>
        <v>3</v>
      </c>
      <c r="C149" s="138" t="s">
        <v>39</v>
      </c>
      <c r="D149" s="139"/>
      <c r="E149" s="64"/>
      <c r="F149" s="66">
        <f>F139+F148</f>
        <v>1319</v>
      </c>
      <c r="G149" s="66">
        <f>G139+G148-0.01</f>
        <v>49.126000000000012</v>
      </c>
      <c r="H149" s="66">
        <f>H139+H148-0.01</f>
        <v>48.216000000000001</v>
      </c>
      <c r="I149" s="66">
        <f>I139+I148+0.01</f>
        <v>199.09399999999997</v>
      </c>
      <c r="J149" s="66">
        <f>J139+J148+0.01</f>
        <v>1448.174</v>
      </c>
      <c r="K149" s="83"/>
      <c r="L149" s="119">
        <f>L139+L148</f>
        <v>269.89999999999998</v>
      </c>
      <c r="M149" s="57"/>
    </row>
    <row r="150" spans="1:13" ht="16.5" thickBot="1">
      <c r="A150" s="42">
        <v>2</v>
      </c>
      <c r="B150" s="43">
        <v>4</v>
      </c>
      <c r="C150" s="29" t="s">
        <v>21</v>
      </c>
      <c r="D150" s="32" t="s">
        <v>33</v>
      </c>
      <c r="E150" s="44" t="s">
        <v>132</v>
      </c>
      <c r="F150" s="12">
        <v>150</v>
      </c>
      <c r="G150" s="12">
        <f>F150*3.25/150</f>
        <v>3.25</v>
      </c>
      <c r="H150" s="12">
        <f>F150*2.8/150</f>
        <v>2.8</v>
      </c>
      <c r="I150" s="12">
        <f>F150*11.9/150</f>
        <v>11.9</v>
      </c>
      <c r="J150" s="12">
        <f>F150*87/150</f>
        <v>87</v>
      </c>
      <c r="K150" s="13">
        <v>44533</v>
      </c>
      <c r="L150" s="118">
        <v>16</v>
      </c>
      <c r="M150" s="57"/>
    </row>
    <row r="151" spans="1:13" ht="31.5">
      <c r="A151" s="3"/>
      <c r="B151" s="4"/>
      <c r="C151" s="31"/>
      <c r="D151" s="32" t="s">
        <v>32</v>
      </c>
      <c r="E151" s="45" t="s">
        <v>92</v>
      </c>
      <c r="F151" s="12">
        <v>92</v>
      </c>
      <c r="G151" s="12">
        <f>F151*11.61/90</f>
        <v>11.867999999999999</v>
      </c>
      <c r="H151" s="12">
        <f>F151*12.06/90</f>
        <v>12.327999999999999</v>
      </c>
      <c r="I151" s="12">
        <f>F151*13.14/90</f>
        <v>13.432</v>
      </c>
      <c r="J151" s="12">
        <f>F151*207.54/90</f>
        <v>212.15200000000002</v>
      </c>
      <c r="K151" s="47" t="s">
        <v>140</v>
      </c>
      <c r="L151" s="118">
        <v>89.73</v>
      </c>
      <c r="M151" s="57"/>
    </row>
    <row r="152" spans="1:13" ht="15.75">
      <c r="A152" s="3"/>
      <c r="B152" s="4"/>
      <c r="C152" s="31"/>
      <c r="D152" s="32" t="s">
        <v>23</v>
      </c>
      <c r="E152" s="44" t="s">
        <v>123</v>
      </c>
      <c r="F152" s="56">
        <v>200</v>
      </c>
      <c r="G152" s="56">
        <v>0.3</v>
      </c>
      <c r="H152" s="56">
        <v>0.1</v>
      </c>
      <c r="I152" s="56">
        <v>18.899999999999999</v>
      </c>
      <c r="J152" s="56">
        <v>78</v>
      </c>
      <c r="K152" s="46" t="s">
        <v>141</v>
      </c>
      <c r="L152" s="118">
        <v>3.06</v>
      </c>
      <c r="M152" s="57"/>
    </row>
    <row r="153" spans="1:13" ht="31.5">
      <c r="A153" s="3"/>
      <c r="B153" s="4"/>
      <c r="C153" s="31"/>
      <c r="D153" s="32" t="s">
        <v>36</v>
      </c>
      <c r="E153" s="14" t="s">
        <v>37</v>
      </c>
      <c r="F153" s="12">
        <v>50</v>
      </c>
      <c r="G153" s="12">
        <f>SUM(F153*3.95/50)</f>
        <v>3.95</v>
      </c>
      <c r="H153" s="12">
        <f>SUM(F153*0.5/50)</f>
        <v>0.5</v>
      </c>
      <c r="I153" s="12">
        <f>SUM(F153*24.15/50)</f>
        <v>24.15</v>
      </c>
      <c r="J153" s="12">
        <f>SUM(F153*116.9/50)</f>
        <v>116.9</v>
      </c>
      <c r="K153" s="46" t="s">
        <v>26</v>
      </c>
      <c r="L153" s="118">
        <v>6.4</v>
      </c>
      <c r="M153" s="57"/>
    </row>
    <row r="154" spans="1:13" ht="15.75">
      <c r="A154" s="3"/>
      <c r="B154" s="4"/>
      <c r="C154" s="31"/>
      <c r="D154" s="32" t="s">
        <v>38</v>
      </c>
      <c r="E154" s="14" t="s">
        <v>133</v>
      </c>
      <c r="F154" s="12">
        <v>34</v>
      </c>
      <c r="G154" s="12">
        <f>SUM(F154*1.68/30)</f>
        <v>1.9039999999999999</v>
      </c>
      <c r="H154" s="12">
        <f>SUM(F154*0.33/30)</f>
        <v>0.374</v>
      </c>
      <c r="I154" s="12">
        <f>SUM(F154*14.82/30)</f>
        <v>16.795999999999999</v>
      </c>
      <c r="J154" s="12">
        <f>SUM(F154*68.97/30)</f>
        <v>78.165999999999997</v>
      </c>
      <c r="K154" s="46" t="s">
        <v>40</v>
      </c>
      <c r="L154" s="118">
        <v>4.0199999999999996</v>
      </c>
      <c r="M154" s="57"/>
    </row>
    <row r="155" spans="1:13" ht="15.75">
      <c r="A155" s="3"/>
      <c r="B155" s="4"/>
      <c r="C155" s="31"/>
      <c r="D155" s="32"/>
      <c r="E155" s="14"/>
      <c r="F155" s="12"/>
      <c r="G155" s="12"/>
      <c r="H155" s="12"/>
      <c r="I155" s="12"/>
      <c r="J155" s="12"/>
      <c r="K155" s="46"/>
      <c r="L155" s="118"/>
      <c r="M155" s="57"/>
    </row>
    <row r="156" spans="1:13" ht="15.75">
      <c r="A156" s="25"/>
      <c r="B156" s="26"/>
      <c r="C156" s="34"/>
      <c r="D156" s="35" t="s">
        <v>28</v>
      </c>
      <c r="E156" s="59"/>
      <c r="F156" s="60">
        <f t="shared" ref="F156:J156" si="35">SUM(F150:F155)</f>
        <v>526</v>
      </c>
      <c r="G156" s="60">
        <f t="shared" si="35"/>
        <v>21.271999999999998</v>
      </c>
      <c r="H156" s="60">
        <f t="shared" si="35"/>
        <v>16.102</v>
      </c>
      <c r="I156" s="60">
        <f t="shared" si="35"/>
        <v>85.177999999999997</v>
      </c>
      <c r="J156" s="60">
        <f t="shared" si="35"/>
        <v>572.21800000000007</v>
      </c>
      <c r="K156" s="82"/>
      <c r="L156" s="107">
        <f>SUM(L150:L155)-0.01</f>
        <v>119.2</v>
      </c>
      <c r="M156" s="57"/>
    </row>
    <row r="157" spans="1:13" ht="47.25">
      <c r="A157" s="5">
        <v>2</v>
      </c>
      <c r="B157" s="6">
        <v>4</v>
      </c>
      <c r="C157" s="36" t="s">
        <v>29</v>
      </c>
      <c r="D157" s="32" t="s">
        <v>30</v>
      </c>
      <c r="E157" s="44" t="s">
        <v>148</v>
      </c>
      <c r="F157" s="56">
        <v>60</v>
      </c>
      <c r="G157" s="56">
        <f>F157*0.72/60</f>
        <v>0.72</v>
      </c>
      <c r="H157" s="56">
        <f>F157*3.6/60</f>
        <v>3.6</v>
      </c>
      <c r="I157" s="56">
        <f>F157*9.72/60</f>
        <v>9.7200000000000006</v>
      </c>
      <c r="J157" s="56">
        <f>F157*74.4/60</f>
        <v>74.400000000000006</v>
      </c>
      <c r="K157" s="62" t="s">
        <v>126</v>
      </c>
      <c r="L157" s="118">
        <v>22.49</v>
      </c>
      <c r="M157" s="57"/>
    </row>
    <row r="158" spans="1:13" ht="48" customHeight="1">
      <c r="A158" s="3"/>
      <c r="B158" s="4"/>
      <c r="C158" s="31"/>
      <c r="D158" s="32" t="s">
        <v>31</v>
      </c>
      <c r="E158" s="44" t="s">
        <v>157</v>
      </c>
      <c r="F158" s="56">
        <v>200</v>
      </c>
      <c r="G158" s="56">
        <f>F158*3.9/200</f>
        <v>3.9</v>
      </c>
      <c r="H158" s="56">
        <f>F158*4.1/200</f>
        <v>4.0999999999999996</v>
      </c>
      <c r="I158" s="56">
        <f>F158*25.32/200</f>
        <v>25.32</v>
      </c>
      <c r="J158" s="56">
        <f>F158*154.4/200</f>
        <v>154.4</v>
      </c>
      <c r="K158" s="62" t="s">
        <v>62</v>
      </c>
      <c r="L158" s="118">
        <v>21.48</v>
      </c>
      <c r="M158" s="57"/>
    </row>
    <row r="159" spans="1:13" ht="31.5">
      <c r="A159" s="3"/>
      <c r="B159" s="4"/>
      <c r="C159" s="31"/>
      <c r="D159" s="32" t="s">
        <v>32</v>
      </c>
      <c r="E159" s="44" t="s">
        <v>44</v>
      </c>
      <c r="F159" s="12">
        <v>100</v>
      </c>
      <c r="G159" s="12">
        <f>F159*17.19/90</f>
        <v>19.100000000000001</v>
      </c>
      <c r="H159" s="12">
        <f>F159*14.31/90</f>
        <v>15.9</v>
      </c>
      <c r="I159" s="12">
        <f>F159*0.18/90</f>
        <v>0.2</v>
      </c>
      <c r="J159" s="12">
        <f>F159*198/90</f>
        <v>220</v>
      </c>
      <c r="K159" s="62">
        <v>4232</v>
      </c>
      <c r="L159" s="118">
        <v>71.78</v>
      </c>
      <c r="M159" s="57"/>
    </row>
    <row r="160" spans="1:13" ht="15.75">
      <c r="A160" s="3"/>
      <c r="B160" s="4"/>
      <c r="C160" s="31"/>
      <c r="D160" s="32" t="s">
        <v>33</v>
      </c>
      <c r="E160" s="45" t="s">
        <v>124</v>
      </c>
      <c r="F160" s="56">
        <v>165</v>
      </c>
      <c r="G160" s="56">
        <f>F160*3.6/150</f>
        <v>3.96</v>
      </c>
      <c r="H160" s="56">
        <f>F160*5.4/150</f>
        <v>5.94</v>
      </c>
      <c r="I160" s="56">
        <f>F160*36.68/150-0.01</f>
        <v>40.338000000000001</v>
      </c>
      <c r="J160" s="56">
        <f>F160*210/150</f>
        <v>231</v>
      </c>
      <c r="K160" s="62" t="s">
        <v>127</v>
      </c>
      <c r="L160" s="118">
        <v>19.57</v>
      </c>
      <c r="M160" s="57"/>
    </row>
    <row r="161" spans="1:13" ht="15.75">
      <c r="A161" s="3"/>
      <c r="B161" s="4"/>
      <c r="C161" s="31"/>
      <c r="D161" s="32" t="s">
        <v>91</v>
      </c>
      <c r="E161" s="44" t="s">
        <v>125</v>
      </c>
      <c r="F161" s="56">
        <v>200</v>
      </c>
      <c r="G161" s="56">
        <v>0.7</v>
      </c>
      <c r="H161" s="56">
        <v>0</v>
      </c>
      <c r="I161" s="56">
        <v>21.1</v>
      </c>
      <c r="J161" s="56">
        <v>88</v>
      </c>
      <c r="K161" s="62" t="s">
        <v>128</v>
      </c>
      <c r="L161" s="118">
        <v>7.48</v>
      </c>
      <c r="M161" s="57"/>
    </row>
    <row r="162" spans="1:13" ht="31.5">
      <c r="A162" s="3"/>
      <c r="B162" s="4"/>
      <c r="C162" s="31"/>
      <c r="D162" s="32" t="s">
        <v>36</v>
      </c>
      <c r="E162" s="14" t="s">
        <v>37</v>
      </c>
      <c r="F162" s="12">
        <v>34</v>
      </c>
      <c r="G162" s="12">
        <f>SUM(F162*2.37/30)</f>
        <v>2.6859999999999999</v>
      </c>
      <c r="H162" s="12">
        <f>SUM(F162*0.3/30)</f>
        <v>0.33999999999999997</v>
      </c>
      <c r="I162" s="12">
        <f>SUM(F162*14.49/30)</f>
        <v>16.422000000000001</v>
      </c>
      <c r="J162" s="12">
        <f>SUM(F162*70.14/30)</f>
        <v>79.492000000000004</v>
      </c>
      <c r="K162" s="62" t="s">
        <v>26</v>
      </c>
      <c r="L162" s="118">
        <v>4.34</v>
      </c>
      <c r="M162" s="57"/>
    </row>
    <row r="163" spans="1:13" ht="15.75">
      <c r="A163" s="3"/>
      <c r="B163" s="4"/>
      <c r="C163" s="31"/>
      <c r="D163" s="32" t="s">
        <v>38</v>
      </c>
      <c r="E163" s="45" t="s">
        <v>133</v>
      </c>
      <c r="F163" s="12">
        <v>30</v>
      </c>
      <c r="G163" s="12">
        <f>SUM(F163*1.68/30)</f>
        <v>1.68</v>
      </c>
      <c r="H163" s="12">
        <f>SUM(F163*0.33/30)</f>
        <v>0.33</v>
      </c>
      <c r="I163" s="12">
        <f>SUM(F163*14.82/30)</f>
        <v>14.82</v>
      </c>
      <c r="J163" s="12">
        <f>SUM(F163*68.97/30)</f>
        <v>68.97</v>
      </c>
      <c r="K163" s="62" t="s">
        <v>40</v>
      </c>
      <c r="L163" s="118">
        <v>3.55</v>
      </c>
      <c r="M163" s="57"/>
    </row>
    <row r="164" spans="1:13" ht="15.75">
      <c r="A164" s="3"/>
      <c r="B164" s="4"/>
      <c r="C164" s="31"/>
      <c r="D164" s="33"/>
      <c r="E164" s="58"/>
      <c r="F164" s="65"/>
      <c r="G164" s="65"/>
      <c r="H164" s="65"/>
      <c r="I164" s="65"/>
      <c r="J164" s="65"/>
      <c r="K164" s="46"/>
      <c r="L164" s="118"/>
      <c r="M164" s="57"/>
    </row>
    <row r="165" spans="1:13" ht="15.75">
      <c r="A165" s="3"/>
      <c r="B165" s="4"/>
      <c r="C165" s="31"/>
      <c r="D165" s="33"/>
      <c r="E165" s="58"/>
      <c r="F165" s="65"/>
      <c r="G165" s="65"/>
      <c r="H165" s="65"/>
      <c r="I165" s="65"/>
      <c r="J165" s="65"/>
      <c r="K165" s="46"/>
      <c r="L165" s="118"/>
      <c r="M165" s="57"/>
    </row>
    <row r="166" spans="1:13" ht="15.75">
      <c r="A166" s="25"/>
      <c r="B166" s="26"/>
      <c r="C166" s="34"/>
      <c r="D166" s="35" t="s">
        <v>28</v>
      </c>
      <c r="E166" s="59"/>
      <c r="F166" s="60">
        <f>SUM(F157:F165)</f>
        <v>789</v>
      </c>
      <c r="G166" s="60">
        <f t="shared" ref="G166:J166" si="36">SUM(G157:G165)</f>
        <v>32.746000000000002</v>
      </c>
      <c r="H166" s="60">
        <f t="shared" si="36"/>
        <v>30.21</v>
      </c>
      <c r="I166" s="60">
        <f>SUM(I157:I165)</f>
        <v>127.91999999999999</v>
      </c>
      <c r="J166" s="60">
        <f t="shared" si="36"/>
        <v>916.26199999999994</v>
      </c>
      <c r="K166" s="82"/>
      <c r="L166" s="107">
        <f>SUM(L157:L165)+0.01</f>
        <v>150.69999999999999</v>
      </c>
      <c r="M166" s="57"/>
    </row>
    <row r="167" spans="1:13" ht="16.5" thickBot="1">
      <c r="A167" s="27">
        <v>2</v>
      </c>
      <c r="B167" s="28">
        <v>4</v>
      </c>
      <c r="C167" s="138" t="s">
        <v>39</v>
      </c>
      <c r="D167" s="139"/>
      <c r="E167" s="64"/>
      <c r="F167" s="66">
        <f>F156+F166</f>
        <v>1315</v>
      </c>
      <c r="G167" s="66">
        <f t="shared" ref="G167" si="37">G156+G166</f>
        <v>54.018000000000001</v>
      </c>
      <c r="H167" s="66">
        <f t="shared" ref="H167" si="38">H156+H166</f>
        <v>46.311999999999998</v>
      </c>
      <c r="I167" s="66">
        <f>I156+I166+0.01</f>
        <v>213.10799999999998</v>
      </c>
      <c r="J167" s="66">
        <f t="shared" ref="J167:L167" si="39">J156+J166</f>
        <v>1488.48</v>
      </c>
      <c r="K167" s="83"/>
      <c r="L167" s="119">
        <f t="shared" si="39"/>
        <v>269.89999999999998</v>
      </c>
      <c r="M167" s="57"/>
    </row>
    <row r="168" spans="1:13" ht="15.75">
      <c r="A168" s="3">
        <v>2</v>
      </c>
      <c r="B168" s="4">
        <v>5</v>
      </c>
      <c r="C168" s="29" t="s">
        <v>21</v>
      </c>
      <c r="D168" s="30" t="s">
        <v>32</v>
      </c>
      <c r="E168" s="44" t="s">
        <v>67</v>
      </c>
      <c r="F168" s="56">
        <v>95</v>
      </c>
      <c r="G168" s="56">
        <f>F168*8.73/90</f>
        <v>9.2149999999999999</v>
      </c>
      <c r="H168" s="56">
        <f>F168*12.42/90</f>
        <v>13.110000000000001</v>
      </c>
      <c r="I168" s="56">
        <f>F168*1.53/90</f>
        <v>1.615</v>
      </c>
      <c r="J168" s="56">
        <f>F168*152.82/90</f>
        <v>161.31</v>
      </c>
      <c r="K168" s="13" t="s">
        <v>129</v>
      </c>
      <c r="L168" s="123">
        <v>55.46</v>
      </c>
      <c r="M168" s="57"/>
    </row>
    <row r="169" spans="1:13" ht="15.75">
      <c r="A169" s="3"/>
      <c r="B169" s="4"/>
      <c r="C169" s="31"/>
      <c r="D169" s="33" t="s">
        <v>33</v>
      </c>
      <c r="E169" s="14" t="s">
        <v>34</v>
      </c>
      <c r="F169" s="11">
        <v>150</v>
      </c>
      <c r="G169" s="12">
        <f>F169*5.33/150</f>
        <v>5.33</v>
      </c>
      <c r="H169" s="12">
        <f>F169*3/150</f>
        <v>3</v>
      </c>
      <c r="I169" s="12">
        <f>F169*32.4/150</f>
        <v>32.4</v>
      </c>
      <c r="J169" s="12">
        <f>F169*177.75/150</f>
        <v>177.75</v>
      </c>
      <c r="K169" s="46" t="s">
        <v>71</v>
      </c>
      <c r="L169" s="123">
        <v>9.99</v>
      </c>
      <c r="M169" s="57"/>
    </row>
    <row r="170" spans="1:13" ht="15.75">
      <c r="A170" s="3"/>
      <c r="B170" s="4"/>
      <c r="C170" s="31"/>
      <c r="D170" s="32" t="s">
        <v>23</v>
      </c>
      <c r="E170" s="15" t="s">
        <v>42</v>
      </c>
      <c r="F170" s="12">
        <v>200</v>
      </c>
      <c r="G170" s="12">
        <v>0</v>
      </c>
      <c r="H170" s="12">
        <v>0</v>
      </c>
      <c r="I170" s="12">
        <v>12</v>
      </c>
      <c r="J170" s="12">
        <v>48</v>
      </c>
      <c r="K170" s="13" t="s">
        <v>43</v>
      </c>
      <c r="L170" s="123">
        <v>12.54</v>
      </c>
      <c r="M170" s="57"/>
    </row>
    <row r="171" spans="1:13" ht="15.75">
      <c r="A171" s="3"/>
      <c r="B171" s="4"/>
      <c r="C171" s="31"/>
      <c r="D171" s="32" t="s">
        <v>36</v>
      </c>
      <c r="E171" s="45" t="s">
        <v>27</v>
      </c>
      <c r="F171" s="11">
        <v>52</v>
      </c>
      <c r="G171" s="11">
        <f>F171*6.1/50</f>
        <v>6.3439999999999994</v>
      </c>
      <c r="H171" s="11">
        <f>F171*3.7/50</f>
        <v>3.8480000000000003</v>
      </c>
      <c r="I171" s="11">
        <f>F171*17.5/50</f>
        <v>18.2</v>
      </c>
      <c r="J171" s="11">
        <f>F171*127.7/50</f>
        <v>132.80800000000002</v>
      </c>
      <c r="K171" s="46" t="s">
        <v>95</v>
      </c>
      <c r="L171" s="123">
        <v>35.049999999999997</v>
      </c>
      <c r="M171" s="57"/>
    </row>
    <row r="172" spans="1:13" ht="15.75">
      <c r="A172" s="3"/>
      <c r="B172" s="4"/>
      <c r="C172" s="31"/>
      <c r="D172" s="32" t="s">
        <v>38</v>
      </c>
      <c r="E172" s="14" t="s">
        <v>133</v>
      </c>
      <c r="F172" s="12">
        <v>52</v>
      </c>
      <c r="G172" s="12">
        <f>SUM(F172*2.8/50)</f>
        <v>2.9119999999999999</v>
      </c>
      <c r="H172" s="12">
        <f>SUM(F172*0.55/50)</f>
        <v>0.57200000000000006</v>
      </c>
      <c r="I172" s="12">
        <f>SUM(F172*24.7/50)</f>
        <v>25.687999999999999</v>
      </c>
      <c r="J172" s="12">
        <f>SUM(F172*114.95/50)</f>
        <v>119.54800000000002</v>
      </c>
      <c r="K172" s="13" t="s">
        <v>40</v>
      </c>
      <c r="L172" s="118">
        <v>6.16</v>
      </c>
      <c r="M172" s="57"/>
    </row>
    <row r="173" spans="1:13" ht="15.75">
      <c r="A173" s="3"/>
      <c r="B173" s="4"/>
      <c r="C173" s="31"/>
      <c r="D173" s="33"/>
      <c r="E173" s="15"/>
      <c r="F173" s="12"/>
      <c r="G173" s="12"/>
      <c r="H173" s="12"/>
      <c r="I173" s="12"/>
      <c r="J173" s="12"/>
      <c r="K173" s="46"/>
      <c r="L173" s="118"/>
      <c r="M173" s="57"/>
    </row>
    <row r="174" spans="1:13" ht="15.75">
      <c r="A174" s="25"/>
      <c r="B174" s="26"/>
      <c r="C174" s="34"/>
      <c r="D174" s="35" t="s">
        <v>28</v>
      </c>
      <c r="E174" s="59"/>
      <c r="F174" s="60">
        <f>SUM(F168:F173)</f>
        <v>549</v>
      </c>
      <c r="G174" s="60">
        <f>SUM(G168:G173)</f>
        <v>23.800999999999998</v>
      </c>
      <c r="H174" s="60">
        <f>SUM(H168:H173)</f>
        <v>20.529999999999998</v>
      </c>
      <c r="I174" s="60">
        <f>SUM(I168:I173)</f>
        <v>89.903000000000006</v>
      </c>
      <c r="J174" s="60">
        <f>SUM(J168:J173)</f>
        <v>639.41600000000005</v>
      </c>
      <c r="K174" s="82"/>
      <c r="L174" s="107">
        <f>SUM(L168:L173)</f>
        <v>119.2</v>
      </c>
      <c r="M174" s="57"/>
    </row>
    <row r="175" spans="1:13" ht="47.25">
      <c r="A175" s="5">
        <v>2</v>
      </c>
      <c r="B175" s="6">
        <v>5</v>
      </c>
      <c r="C175" s="36" t="s">
        <v>29</v>
      </c>
      <c r="D175" s="32" t="s">
        <v>30</v>
      </c>
      <c r="E175" s="44" t="s">
        <v>130</v>
      </c>
      <c r="F175" s="56">
        <v>70</v>
      </c>
      <c r="G175" s="56">
        <f>F175*2.16/60</f>
        <v>2.5200000000000005</v>
      </c>
      <c r="H175" s="56">
        <f>F175*4.5/60</f>
        <v>5.25</v>
      </c>
      <c r="I175" s="56">
        <f>F175*9.9/60</f>
        <v>11.55</v>
      </c>
      <c r="J175" s="56">
        <f>F175*88.8/60</f>
        <v>103.6</v>
      </c>
      <c r="K175" s="17" t="s">
        <v>131</v>
      </c>
      <c r="L175" s="118">
        <v>10.74</v>
      </c>
      <c r="M175" s="57"/>
    </row>
    <row r="176" spans="1:13" ht="31.5">
      <c r="A176" s="3"/>
      <c r="B176" s="4"/>
      <c r="C176" s="36"/>
      <c r="D176" s="32" t="s">
        <v>31</v>
      </c>
      <c r="E176" s="15" t="s">
        <v>158</v>
      </c>
      <c r="F176" s="68">
        <v>200</v>
      </c>
      <c r="G176" s="68">
        <f>F176*3.76/200</f>
        <v>3.76</v>
      </c>
      <c r="H176" s="68">
        <f>F176*6.41/200</f>
        <v>6.41</v>
      </c>
      <c r="I176" s="68">
        <f>F176*11.19/200</f>
        <v>11.19</v>
      </c>
      <c r="J176" s="68">
        <f>F176*117.6/200</f>
        <v>117.6</v>
      </c>
      <c r="K176" s="13" t="s">
        <v>72</v>
      </c>
      <c r="L176" s="118">
        <v>28.31</v>
      </c>
      <c r="M176" s="57"/>
    </row>
    <row r="177" spans="1:13" ht="15.75">
      <c r="A177" s="3"/>
      <c r="B177" s="4"/>
      <c r="C177" s="31"/>
      <c r="D177" s="32" t="s">
        <v>32</v>
      </c>
      <c r="E177" s="14" t="s">
        <v>73</v>
      </c>
      <c r="F177" s="11">
        <v>100</v>
      </c>
      <c r="G177" s="12">
        <f>F177*11.7/90</f>
        <v>13</v>
      </c>
      <c r="H177" s="12">
        <f>F177*11.61/90</f>
        <v>12.9</v>
      </c>
      <c r="I177" s="12">
        <f>F177*5.76/90</f>
        <v>6.4</v>
      </c>
      <c r="J177" s="12">
        <f>F177*174.6/90</f>
        <v>194</v>
      </c>
      <c r="K177" s="84" t="s">
        <v>82</v>
      </c>
      <c r="L177" s="118">
        <v>83.5</v>
      </c>
      <c r="M177" s="57"/>
    </row>
    <row r="178" spans="1:13" ht="15.75">
      <c r="A178" s="3"/>
      <c r="B178" s="4"/>
      <c r="C178" s="31"/>
      <c r="D178" s="32" t="s">
        <v>33</v>
      </c>
      <c r="E178" s="15" t="s">
        <v>74</v>
      </c>
      <c r="F178" s="68">
        <v>170</v>
      </c>
      <c r="G178" s="68">
        <f>F178*2.48/150</f>
        <v>2.8106666666666666</v>
      </c>
      <c r="H178" s="68">
        <f>F178*3.98/150</f>
        <v>4.5106666666666664</v>
      </c>
      <c r="I178" s="68">
        <f>F178*24.6/150</f>
        <v>27.88</v>
      </c>
      <c r="J178" s="68">
        <f>F178*144/150</f>
        <v>163.19999999999999</v>
      </c>
      <c r="K178" s="13" t="s">
        <v>75</v>
      </c>
      <c r="L178" s="118">
        <v>13.33</v>
      </c>
      <c r="M178" s="57"/>
    </row>
    <row r="179" spans="1:13" ht="15.75">
      <c r="A179" s="3"/>
      <c r="B179" s="4"/>
      <c r="C179" s="31"/>
      <c r="D179" s="32" t="s">
        <v>91</v>
      </c>
      <c r="E179" s="14" t="s">
        <v>45</v>
      </c>
      <c r="F179" s="68">
        <v>200</v>
      </c>
      <c r="G179" s="68">
        <v>1</v>
      </c>
      <c r="H179" s="68">
        <v>0.1</v>
      </c>
      <c r="I179" s="68">
        <v>19.8</v>
      </c>
      <c r="J179" s="68">
        <v>84</v>
      </c>
      <c r="K179" s="13" t="s">
        <v>76</v>
      </c>
      <c r="L179" s="118">
        <v>6.66</v>
      </c>
      <c r="M179" s="57"/>
    </row>
    <row r="180" spans="1:13" ht="31.5">
      <c r="A180" s="3"/>
      <c r="B180" s="4"/>
      <c r="C180" s="31"/>
      <c r="D180" s="32" t="s">
        <v>36</v>
      </c>
      <c r="E180" s="14" t="s">
        <v>37</v>
      </c>
      <c r="F180" s="12">
        <v>36</v>
      </c>
      <c r="G180" s="12">
        <f>SUM(F180*2.37/30)</f>
        <v>2.8440000000000003</v>
      </c>
      <c r="H180" s="12">
        <f>SUM(F180*0.3/30)</f>
        <v>0.36</v>
      </c>
      <c r="I180" s="12">
        <f>SUM(F180*14.49/30)</f>
        <v>17.387999999999998</v>
      </c>
      <c r="J180" s="12">
        <f>SUM(F180*70.14/30)</f>
        <v>84.167999999999992</v>
      </c>
      <c r="K180" s="13" t="s">
        <v>26</v>
      </c>
      <c r="L180" s="118">
        <v>4.62</v>
      </c>
      <c r="M180" s="57"/>
    </row>
    <row r="181" spans="1:13" ht="15.75">
      <c r="A181" s="3"/>
      <c r="B181" s="4"/>
      <c r="C181" s="31"/>
      <c r="D181" s="32" t="s">
        <v>38</v>
      </c>
      <c r="E181" s="14" t="s">
        <v>133</v>
      </c>
      <c r="F181" s="12">
        <v>30</v>
      </c>
      <c r="G181" s="12">
        <f>SUM(F181*1.68/30)</f>
        <v>1.68</v>
      </c>
      <c r="H181" s="12">
        <f>SUM(F181*0.33/30)</f>
        <v>0.33</v>
      </c>
      <c r="I181" s="12">
        <f>SUM(F181*14.82/30)</f>
        <v>14.82</v>
      </c>
      <c r="J181" s="12">
        <f>SUM(F181*68.97/30)</f>
        <v>68.97</v>
      </c>
      <c r="K181" s="13" t="s">
        <v>40</v>
      </c>
      <c r="L181" s="118">
        <v>3.55</v>
      </c>
      <c r="M181" s="57"/>
    </row>
    <row r="182" spans="1:13" ht="15.75">
      <c r="A182" s="3"/>
      <c r="B182" s="4"/>
      <c r="C182" s="31"/>
      <c r="D182" s="33"/>
      <c r="E182" s="58"/>
      <c r="F182" s="65"/>
      <c r="G182" s="65"/>
      <c r="H182" s="65"/>
      <c r="I182" s="65"/>
      <c r="J182" s="65"/>
      <c r="K182" s="46"/>
      <c r="L182" s="118"/>
      <c r="M182" s="57"/>
    </row>
    <row r="183" spans="1:13" ht="15.75">
      <c r="A183" s="3"/>
      <c r="B183" s="4"/>
      <c r="C183" s="31"/>
      <c r="D183" s="33"/>
      <c r="E183" s="58"/>
      <c r="F183" s="65"/>
      <c r="G183" s="65"/>
      <c r="H183" s="65"/>
      <c r="I183" s="65"/>
      <c r="J183" s="65"/>
      <c r="K183" s="46"/>
      <c r="L183" s="118"/>
      <c r="M183" s="57"/>
    </row>
    <row r="184" spans="1:13" ht="15.75">
      <c r="A184" s="25"/>
      <c r="B184" s="26"/>
      <c r="C184" s="34"/>
      <c r="D184" s="35" t="s">
        <v>28</v>
      </c>
      <c r="E184" s="59"/>
      <c r="F184" s="60">
        <f>SUM(F175:F183)</f>
        <v>806</v>
      </c>
      <c r="G184" s="60">
        <f>SUM(G175:G183)</f>
        <v>27.614666666666668</v>
      </c>
      <c r="H184" s="60">
        <f>SUM(H175:H183)</f>
        <v>29.860666666666667</v>
      </c>
      <c r="I184" s="60">
        <f>SUM(I175:I183)</f>
        <v>109.02799999999999</v>
      </c>
      <c r="J184" s="60">
        <f>SUM(J175:J183)</f>
        <v>815.53800000000001</v>
      </c>
      <c r="K184" s="82"/>
      <c r="L184" s="107">
        <f>SUM(L175:L183)-0.01</f>
        <v>150.70000000000002</v>
      </c>
      <c r="M184" s="57"/>
    </row>
    <row r="185" spans="1:13" ht="16.5" thickBot="1">
      <c r="A185" s="72">
        <v>2</v>
      </c>
      <c r="B185" s="73">
        <v>5</v>
      </c>
      <c r="C185" s="142" t="s">
        <v>39</v>
      </c>
      <c r="D185" s="143"/>
      <c r="E185" s="64"/>
      <c r="F185" s="66">
        <f>F174+F184</f>
        <v>1355</v>
      </c>
      <c r="G185" s="66">
        <f>G174+G184-0.02</f>
        <v>51.395666666666664</v>
      </c>
      <c r="H185" s="66">
        <f>H174+H184</f>
        <v>50.390666666666661</v>
      </c>
      <c r="I185" s="66">
        <f>I174+I184</f>
        <v>198.93099999999998</v>
      </c>
      <c r="J185" s="66">
        <f>J174+J184</f>
        <v>1454.9540000000002</v>
      </c>
      <c r="K185" s="83"/>
      <c r="L185" s="119">
        <f>L174+L184</f>
        <v>269.90000000000003</v>
      </c>
      <c r="M185" s="57"/>
    </row>
    <row r="186" spans="1:13" ht="16.5" thickBot="1">
      <c r="A186" s="74"/>
      <c r="B186" s="75"/>
      <c r="C186" s="144" t="s">
        <v>77</v>
      </c>
      <c r="D186" s="144"/>
      <c r="E186" s="144"/>
      <c r="F186" s="99">
        <f>(F23+F40+F59+F78+F96+F113+F131+F149+F167+F185)/(IF(F23=0,0,1)+IF(F40=0,0,1)+IF(F59=0,0,1)+IF(F78=0,0,1)+IF(F96=0,0,1)+IF(F113=0,0,1)+IF(F131=0,0,1)+IF(F149=0,0,1)+IF(F167=0,0,1)+IF(F185=0,0,1))</f>
        <v>1332.9</v>
      </c>
      <c r="G186" s="99">
        <f>(G23+G40+G59+G78+G96+G113+G131+G149+G167+G185)/(IF(G23=0,0,1)+IF(G40=0,0,1)+IF(G59=0,0,1)+IF(G78=0,0,1)+IF(G96=0,0,1)+IF(G113=0,0,1)+IF(G131=0,0,1)+IF(G149=0,0,1)+IF(G167=0,0,1)+IF(G185=0,0,1))</f>
        <v>54.533566666666673</v>
      </c>
      <c r="H186" s="99">
        <f>(H23+H40+H59+H78+H96+H113+H131+H149+H167+H185)/(IF(H23=0,0,1)+IF(H40=0,0,1)+IF(H59=0,0,1)+IF(H78=0,0,1)+IF(H96=0,0,1)+IF(H113=0,0,1)+IF(H131=0,0,1)+IF(H149=0,0,1)+IF(H167=0,0,1)+IF(H185=0,0,1))</f>
        <v>51.124566666666666</v>
      </c>
      <c r="I186" s="99">
        <f>(I23+I40+I59+I78+I96+I113+I131+I149+I167+I185)/(IF(I23=0,0,1)+IF(I40=0,0,1)+IF(I59=0,0,1)+IF(I78=0,0,1)+IF(I96=0,0,1)+IF(I113=0,0,1)+IF(I131=0,0,1)+IF(I149=0,0,1)+IF(I167=0,0,1)+IF(I185=0,0,1))</f>
        <v>198.84936666666667</v>
      </c>
      <c r="J186" s="99">
        <f>(J23+J40+J59+J78+J96+J113+J131+J149+J167+J185)/(IF(J23=0,0,1)+IF(J40=0,0,1)+IF(J59=0,0,1)+IF(J78=0,0,1)+IF(J96=0,0,1)+IF(J113=0,0,1)+IF(J131=0,0,1)+IF(J149=0,0,1)+IF(J167=0,0,1)+IF(J185=0,0,1))</f>
        <v>1476.5555666666669</v>
      </c>
      <c r="K186" s="85"/>
      <c r="L186" s="125">
        <f>(L23+L40+L59+L78+L96+L113+L131+L149+L167+L185)/(IF(L23=0,0,1)+IF(L40=0,0,1)+IF(L59=0,0,1)+IF(L78=0,0,1)+IF(L96=0,0,1)+IF(L113=0,0,1)+IF(L131=0,0,1)+IF(L149=0,0,1)+IF(L167=0,0,1)+IF(L185=0,0,1))</f>
        <v>269.90000000000003</v>
      </c>
      <c r="M186" s="57"/>
    </row>
    <row r="187" spans="1:13">
      <c r="C187" s="76"/>
      <c r="D187" s="76"/>
      <c r="E187" s="94"/>
      <c r="F187" s="112"/>
      <c r="G187" s="112"/>
      <c r="H187" s="112"/>
      <c r="I187" s="112"/>
      <c r="J187" s="112"/>
      <c r="K187" s="86"/>
      <c r="L187" s="126"/>
      <c r="M187" s="57"/>
    </row>
    <row r="188" spans="1:13">
      <c r="C188" s="76"/>
      <c r="D188" s="76"/>
      <c r="E188" s="94"/>
      <c r="F188" s="112"/>
      <c r="G188" s="112"/>
      <c r="H188" s="112"/>
      <c r="I188" s="112"/>
      <c r="J188" s="112"/>
      <c r="K188" s="86"/>
      <c r="L188" s="126"/>
      <c r="M188" s="57"/>
    </row>
    <row r="189" spans="1:13">
      <c r="C189" s="76"/>
      <c r="D189" s="76"/>
      <c r="E189" s="94"/>
      <c r="F189" s="112"/>
      <c r="G189" s="112"/>
      <c r="H189" s="112"/>
      <c r="I189" s="112"/>
      <c r="J189" s="112"/>
      <c r="K189" s="86"/>
      <c r="L189" s="126"/>
      <c r="M189" s="57"/>
    </row>
    <row r="190" spans="1:13">
      <c r="C190" s="76"/>
      <c r="D190" s="76"/>
      <c r="E190" s="94"/>
      <c r="F190" s="112"/>
      <c r="G190" s="112"/>
      <c r="H190" s="112"/>
      <c r="I190" s="112"/>
      <c r="J190" s="112"/>
      <c r="K190" s="86"/>
      <c r="L190" s="126"/>
      <c r="M190" s="57"/>
    </row>
    <row r="191" spans="1:13">
      <c r="C191" s="76"/>
      <c r="D191" s="76"/>
      <c r="E191" s="94"/>
      <c r="F191" s="112"/>
      <c r="G191" s="112"/>
      <c r="H191" s="112"/>
      <c r="I191" s="112"/>
      <c r="J191" s="112"/>
      <c r="K191" s="86"/>
      <c r="L191" s="126"/>
      <c r="M191" s="57"/>
    </row>
    <row r="192" spans="1:13">
      <c r="C192" s="76"/>
      <c r="D192" s="76"/>
      <c r="E192" s="94"/>
      <c r="F192" s="112"/>
      <c r="G192" s="112"/>
      <c r="H192" s="112"/>
      <c r="I192" s="112"/>
      <c r="J192" s="112"/>
      <c r="K192" s="86"/>
      <c r="L192" s="126"/>
      <c r="M192" s="57"/>
    </row>
    <row r="193" spans="3:13">
      <c r="C193" s="76"/>
      <c r="D193" s="76"/>
      <c r="E193" s="94"/>
      <c r="F193" s="112"/>
      <c r="G193" s="112"/>
      <c r="H193" s="112"/>
      <c r="I193" s="112"/>
      <c r="J193" s="112"/>
      <c r="K193" s="86"/>
      <c r="L193" s="126"/>
      <c r="M193" s="57"/>
    </row>
    <row r="194" spans="3:13">
      <c r="C194" s="76"/>
      <c r="D194" s="76"/>
      <c r="E194" s="94"/>
      <c r="F194" s="112"/>
      <c r="G194" s="112"/>
      <c r="H194" s="112"/>
      <c r="I194" s="112"/>
      <c r="J194" s="112"/>
      <c r="K194" s="86"/>
      <c r="L194" s="126"/>
      <c r="M194" s="57"/>
    </row>
    <row r="195" spans="3:13">
      <c r="C195" s="76"/>
      <c r="D195" s="76"/>
      <c r="E195" s="94"/>
      <c r="F195" s="112"/>
      <c r="G195" s="112"/>
      <c r="H195" s="112"/>
      <c r="I195" s="112"/>
      <c r="J195" s="112"/>
      <c r="K195" s="86"/>
      <c r="L195" s="126"/>
      <c r="M195" s="57"/>
    </row>
    <row r="196" spans="3:13">
      <c r="C196" s="76"/>
      <c r="D196" s="76"/>
      <c r="E196" s="94"/>
      <c r="F196" s="112"/>
      <c r="G196" s="112"/>
      <c r="H196" s="112"/>
      <c r="I196" s="112"/>
      <c r="J196" s="112"/>
      <c r="K196" s="86"/>
      <c r="L196" s="126"/>
      <c r="M196" s="57"/>
    </row>
    <row r="197" spans="3:13">
      <c r="C197" s="76"/>
      <c r="D197" s="76"/>
      <c r="E197" s="95"/>
      <c r="F197" s="113"/>
      <c r="G197" s="113"/>
      <c r="H197" s="113"/>
      <c r="I197" s="113"/>
      <c r="J197" s="113"/>
      <c r="K197" s="87"/>
      <c r="L197" s="127"/>
      <c r="M197" s="77"/>
    </row>
    <row r="198" spans="3:13" ht="15.75">
      <c r="C198" s="76"/>
      <c r="D198" s="76"/>
      <c r="E198" s="96"/>
      <c r="F198" s="19"/>
      <c r="G198" s="20"/>
      <c r="H198" s="20"/>
      <c r="I198" s="20"/>
      <c r="J198" s="20"/>
      <c r="K198" s="22"/>
      <c r="L198" s="128"/>
      <c r="M198" s="78"/>
    </row>
    <row r="199" spans="3:13" ht="15.75">
      <c r="C199" s="76"/>
      <c r="D199" s="76"/>
      <c r="E199" s="97"/>
      <c r="F199" s="114"/>
      <c r="G199" s="20"/>
      <c r="H199" s="20"/>
      <c r="I199" s="20"/>
      <c r="J199" s="20"/>
      <c r="K199" s="22"/>
      <c r="L199" s="128"/>
      <c r="M199" s="78"/>
    </row>
    <row r="200" spans="3:13" ht="15.75">
      <c r="C200" s="76"/>
      <c r="D200" s="76"/>
      <c r="E200" s="21"/>
      <c r="F200" s="20"/>
      <c r="G200" s="20"/>
      <c r="H200" s="20"/>
      <c r="I200" s="20"/>
      <c r="J200" s="20"/>
      <c r="K200" s="22"/>
      <c r="L200" s="127"/>
      <c r="M200" s="77"/>
    </row>
    <row r="201" spans="3:13" ht="15.75">
      <c r="C201" s="76"/>
      <c r="D201" s="76"/>
      <c r="E201" s="21"/>
      <c r="F201" s="20"/>
      <c r="G201" s="20"/>
      <c r="H201" s="20"/>
      <c r="I201" s="20"/>
      <c r="J201" s="20"/>
      <c r="K201" s="22"/>
      <c r="L201" s="127"/>
      <c r="M201" s="77"/>
    </row>
    <row r="202" spans="3:13" ht="15.75">
      <c r="C202" s="76"/>
      <c r="D202" s="76"/>
      <c r="E202" s="21"/>
      <c r="F202" s="20"/>
      <c r="G202" s="20"/>
      <c r="H202" s="20"/>
      <c r="I202" s="20"/>
      <c r="J202" s="20"/>
      <c r="K202" s="22"/>
      <c r="L202" s="127"/>
      <c r="M202" s="77"/>
    </row>
    <row r="203" spans="3:13" ht="15.75">
      <c r="C203" s="76"/>
      <c r="D203" s="76"/>
      <c r="E203" s="21"/>
      <c r="F203" s="20"/>
      <c r="G203" s="20"/>
      <c r="H203" s="20"/>
      <c r="I203" s="20"/>
      <c r="J203" s="20"/>
      <c r="K203" s="22"/>
      <c r="L203" s="127"/>
      <c r="M203" s="77"/>
    </row>
    <row r="204" spans="3:13" ht="15.75">
      <c r="C204" s="76"/>
      <c r="D204" s="76"/>
      <c r="E204" s="23"/>
      <c r="F204" s="24"/>
      <c r="G204" s="20"/>
      <c r="H204" s="20"/>
      <c r="I204" s="20"/>
      <c r="J204" s="20"/>
      <c r="K204" s="87"/>
      <c r="L204" s="127"/>
      <c r="M204" s="77"/>
    </row>
    <row r="205" spans="3:13" ht="15.75">
      <c r="C205" s="76"/>
      <c r="D205" s="76"/>
      <c r="E205" s="21"/>
      <c r="F205" s="20"/>
      <c r="G205" s="20"/>
      <c r="H205" s="20"/>
      <c r="I205" s="20"/>
      <c r="J205" s="20"/>
      <c r="K205" s="88"/>
      <c r="L205" s="127"/>
      <c r="M205" s="77"/>
    </row>
    <row r="206" spans="3:13" ht="15.75">
      <c r="C206" s="76"/>
      <c r="D206" s="76"/>
      <c r="E206" s="21"/>
      <c r="F206" s="20"/>
      <c r="G206" s="20"/>
      <c r="H206" s="20"/>
      <c r="I206" s="20"/>
      <c r="J206" s="20"/>
      <c r="K206" s="88"/>
      <c r="L206" s="127"/>
      <c r="M206" s="77"/>
    </row>
    <row r="207" spans="3:13" ht="15.75">
      <c r="C207" s="76"/>
      <c r="D207" s="76"/>
      <c r="E207" s="21"/>
      <c r="F207" s="20"/>
      <c r="G207" s="20"/>
      <c r="H207" s="20"/>
      <c r="I207" s="20"/>
      <c r="J207" s="20"/>
      <c r="K207" s="88"/>
      <c r="L207" s="127"/>
      <c r="M207" s="77"/>
    </row>
    <row r="208" spans="3:13" ht="15.75">
      <c r="C208" s="76"/>
      <c r="D208" s="76"/>
      <c r="E208" s="21"/>
      <c r="F208" s="20"/>
      <c r="G208" s="20"/>
      <c r="H208" s="20"/>
      <c r="I208" s="20"/>
      <c r="J208" s="20"/>
      <c r="K208" s="88"/>
      <c r="L208" s="127"/>
      <c r="M208" s="77"/>
    </row>
    <row r="209" spans="3:13" ht="15.75">
      <c r="C209" s="76"/>
      <c r="D209" s="76"/>
      <c r="E209" s="21"/>
      <c r="F209" s="20"/>
      <c r="G209" s="20"/>
      <c r="H209" s="20"/>
      <c r="I209" s="20"/>
      <c r="J209" s="20"/>
      <c r="K209" s="88"/>
      <c r="L209" s="127"/>
      <c r="M209" s="77"/>
    </row>
    <row r="210" spans="3:13" ht="15.75">
      <c r="C210" s="76"/>
      <c r="D210" s="76"/>
      <c r="E210" s="19"/>
      <c r="F210" s="20"/>
      <c r="G210" s="20"/>
      <c r="H210" s="20"/>
      <c r="I210" s="20"/>
      <c r="J210" s="20"/>
      <c r="K210" s="39"/>
      <c r="L210" s="127"/>
      <c r="M210" s="77"/>
    </row>
    <row r="211" spans="3:13" ht="15.75">
      <c r="C211" s="76"/>
      <c r="D211" s="76"/>
      <c r="E211" s="19"/>
      <c r="F211" s="20"/>
      <c r="G211" s="20"/>
      <c r="H211" s="20"/>
      <c r="I211" s="20"/>
      <c r="J211" s="20"/>
      <c r="K211" s="88"/>
      <c r="L211" s="127"/>
      <c r="M211" s="77"/>
    </row>
    <row r="212" spans="3:13" ht="15.75">
      <c r="E212" s="9"/>
      <c r="F212" s="8"/>
      <c r="G212" s="8"/>
      <c r="H212" s="8"/>
      <c r="I212" s="8"/>
      <c r="J212" s="8"/>
      <c r="K212" s="10"/>
      <c r="L212" s="129"/>
      <c r="M212" s="79"/>
    </row>
    <row r="213" spans="3:13">
      <c r="E213" s="98"/>
      <c r="F213" s="115"/>
      <c r="G213" s="115"/>
      <c r="H213" s="115"/>
      <c r="I213" s="115"/>
      <c r="J213" s="115"/>
      <c r="K213" s="89"/>
      <c r="L213" s="129"/>
      <c r="M213" s="79"/>
    </row>
    <row r="214" spans="3:13">
      <c r="E214" s="98"/>
      <c r="F214" s="115"/>
      <c r="G214" s="115"/>
      <c r="H214" s="115"/>
      <c r="I214" s="115"/>
      <c r="J214" s="115"/>
      <c r="K214" s="89"/>
      <c r="L214" s="129"/>
      <c r="M214" s="79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5" orientation="landscape" r:id="rId1"/>
  <rowBreaks count="2" manualBreakCount="2">
    <brk id="96" max="11" man="1"/>
    <brk id="149" max="11" man="1"/>
  </rowBreaks>
  <ignoredErrors>
    <ignoredError sqref="G8:G9 G47:J47 G176:J176 G178:J178" unlockedFormula="1"/>
    <ignoredError sqref="K15 K13 K24 K26 K68 K80 K160:K161 K168 K179 K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2025-09-29T08:59:51Z</cp:lastPrinted>
  <dcterms:created xsi:type="dcterms:W3CDTF">2022-05-16T14:23:00Z</dcterms:created>
  <dcterms:modified xsi:type="dcterms:W3CDTF">2026-01-13T10:39:29Z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