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0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3" i="1"/>
  <c r="J139"/>
  <c r="I139"/>
  <c r="H139"/>
  <c r="G139"/>
  <c r="J130" l="1"/>
  <c r="I130"/>
  <c r="H130"/>
  <c r="G130"/>
  <c r="G179" l="1"/>
  <c r="L22"/>
  <c r="J156" l="1"/>
  <c r="I156"/>
  <c r="H156"/>
  <c r="G156"/>
  <c r="G53"/>
  <c r="J33"/>
  <c r="I33"/>
  <c r="G33"/>
  <c r="F41"/>
  <c r="J181" l="1"/>
  <c r="I181"/>
  <c r="H181"/>
  <c r="G181"/>
  <c r="J180"/>
  <c r="I180"/>
  <c r="H180"/>
  <c r="G180"/>
  <c r="J173"/>
  <c r="I173"/>
  <c r="H173"/>
  <c r="G173"/>
  <c r="G165"/>
  <c r="G163"/>
  <c r="I163"/>
  <c r="J163"/>
  <c r="J145"/>
  <c r="I145"/>
  <c r="G145"/>
  <c r="J144"/>
  <c r="I144"/>
  <c r="H144"/>
  <c r="G144"/>
  <c r="J137"/>
  <c r="G137"/>
  <c r="J126"/>
  <c r="I126"/>
  <c r="H126"/>
  <c r="G126"/>
  <c r="I125"/>
  <c r="J121"/>
  <c r="I121"/>
  <c r="H121"/>
  <c r="G121"/>
  <c r="J120"/>
  <c r="I120"/>
  <c r="H120"/>
  <c r="G120"/>
  <c r="J118"/>
  <c r="I118"/>
  <c r="H118"/>
  <c r="G118"/>
  <c r="J110"/>
  <c r="I110"/>
  <c r="H110"/>
  <c r="G110"/>
  <c r="J108"/>
  <c r="H108"/>
  <c r="J107"/>
  <c r="I107"/>
  <c r="H107"/>
  <c r="G107"/>
  <c r="J102"/>
  <c r="I102"/>
  <c r="H102"/>
  <c r="G102"/>
  <c r="J94"/>
  <c r="I94"/>
  <c r="H94"/>
  <c r="G94"/>
  <c r="J93"/>
  <c r="I93"/>
  <c r="H93"/>
  <c r="G93"/>
  <c r="J91"/>
  <c r="J90"/>
  <c r="I90"/>
  <c r="G90"/>
  <c r="H89"/>
  <c r="G83"/>
  <c r="J82"/>
  <c r="G73"/>
  <c r="J73"/>
  <c r="J72"/>
  <c r="I72"/>
  <c r="J71"/>
  <c r="J64"/>
  <c r="I64"/>
  <c r="H64"/>
  <c r="G64"/>
  <c r="J62"/>
  <c r="I62"/>
  <c r="H62"/>
  <c r="G62"/>
  <c r="J52"/>
  <c r="I52"/>
  <c r="G52"/>
  <c r="J37"/>
  <c r="I37"/>
  <c r="H37"/>
  <c r="G37"/>
  <c r="H32"/>
  <c r="G32"/>
  <c r="J32"/>
  <c r="I32"/>
  <c r="J25"/>
  <c r="H25"/>
  <c r="J24"/>
  <c r="I24"/>
  <c r="H24"/>
  <c r="G24"/>
  <c r="I25"/>
  <c r="G25"/>
  <c r="J19"/>
  <c r="I19"/>
  <c r="H19"/>
  <c r="G19"/>
  <c r="H14"/>
  <c r="J13"/>
  <c r="I13"/>
  <c r="H13"/>
  <c r="G13"/>
  <c r="G9"/>
  <c r="J9"/>
  <c r="I9"/>
  <c r="H9"/>
  <c r="J8"/>
  <c r="I8"/>
  <c r="H8"/>
  <c r="G8"/>
  <c r="L189" l="1"/>
  <c r="F189"/>
  <c r="J186"/>
  <c r="I186"/>
  <c r="H186"/>
  <c r="G186"/>
  <c r="J185"/>
  <c r="I185"/>
  <c r="H185"/>
  <c r="G185"/>
  <c r="J183"/>
  <c r="I183"/>
  <c r="H183"/>
  <c r="G183"/>
  <c r="J182"/>
  <c r="I182"/>
  <c r="H182"/>
  <c r="G182"/>
  <c r="J189"/>
  <c r="I189"/>
  <c r="H189"/>
  <c r="G189"/>
  <c r="L179"/>
  <c r="L190" s="1"/>
  <c r="F179"/>
  <c r="F190" s="1"/>
  <c r="J177"/>
  <c r="I177"/>
  <c r="H177"/>
  <c r="G177"/>
  <c r="J176"/>
  <c r="I176"/>
  <c r="H176"/>
  <c r="G176"/>
  <c r="J174"/>
  <c r="I174"/>
  <c r="H174"/>
  <c r="G174"/>
  <c r="J179"/>
  <c r="J190" s="1"/>
  <c r="I179"/>
  <c r="I190" s="1"/>
  <c r="H179"/>
  <c r="G190"/>
  <c r="L171"/>
  <c r="F171"/>
  <c r="J168"/>
  <c r="I168"/>
  <c r="H168"/>
  <c r="G168"/>
  <c r="J167"/>
  <c r="I167"/>
  <c r="H167"/>
  <c r="G167"/>
  <c r="J165"/>
  <c r="I165"/>
  <c r="H165"/>
  <c r="J164"/>
  <c r="I164"/>
  <c r="H164"/>
  <c r="G164"/>
  <c r="H163"/>
  <c r="J162"/>
  <c r="I162"/>
  <c r="H162"/>
  <c r="G162"/>
  <c r="L161"/>
  <c r="L172" s="1"/>
  <c r="F161"/>
  <c r="F172" s="1"/>
  <c r="J159"/>
  <c r="I159"/>
  <c r="H159"/>
  <c r="G159"/>
  <c r="J158"/>
  <c r="I158"/>
  <c r="H158"/>
  <c r="G158"/>
  <c r="J155"/>
  <c r="I155"/>
  <c r="H155"/>
  <c r="G155"/>
  <c r="J161"/>
  <c r="I161"/>
  <c r="H161"/>
  <c r="G161"/>
  <c r="B154"/>
  <c r="A154"/>
  <c r="L153"/>
  <c r="F153"/>
  <c r="J150"/>
  <c r="I150"/>
  <c r="H150"/>
  <c r="G150"/>
  <c r="J149"/>
  <c r="I149"/>
  <c r="H149"/>
  <c r="G149"/>
  <c r="J147"/>
  <c r="I147"/>
  <c r="H147"/>
  <c r="G147"/>
  <c r="J146"/>
  <c r="I146"/>
  <c r="I153" s="1"/>
  <c r="H146"/>
  <c r="G146"/>
  <c r="G153" s="1"/>
  <c r="H145"/>
  <c r="J153"/>
  <c r="H153"/>
  <c r="B144"/>
  <c r="A144"/>
  <c r="F143"/>
  <c r="J140"/>
  <c r="I140"/>
  <c r="H140"/>
  <c r="G140"/>
  <c r="I137"/>
  <c r="H137"/>
  <c r="J136"/>
  <c r="I136"/>
  <c r="H136"/>
  <c r="G136"/>
  <c r="G143" s="1"/>
  <c r="B135"/>
  <c r="A135"/>
  <c r="L134"/>
  <c r="F134"/>
  <c r="J131"/>
  <c r="I131"/>
  <c r="H131"/>
  <c r="G131"/>
  <c r="J128"/>
  <c r="I128"/>
  <c r="H128"/>
  <c r="G128"/>
  <c r="J127"/>
  <c r="I127"/>
  <c r="H127"/>
  <c r="G127"/>
  <c r="J125"/>
  <c r="J134" s="1"/>
  <c r="I134"/>
  <c r="H125"/>
  <c r="H134" s="1"/>
  <c r="G125"/>
  <c r="G134" s="1"/>
  <c r="B125"/>
  <c r="A125"/>
  <c r="L124"/>
  <c r="L135" s="1"/>
  <c r="F124"/>
  <c r="F135" s="1"/>
  <c r="J124"/>
  <c r="I124"/>
  <c r="I135" s="1"/>
  <c r="H124"/>
  <c r="G124"/>
  <c r="G135" s="1"/>
  <c r="B117"/>
  <c r="A117"/>
  <c r="L116"/>
  <c r="F116"/>
  <c r="J113"/>
  <c r="I113"/>
  <c r="H113"/>
  <c r="G113"/>
  <c r="J112"/>
  <c r="I112"/>
  <c r="H112"/>
  <c r="G112"/>
  <c r="J109"/>
  <c r="I109"/>
  <c r="I116" s="1"/>
  <c r="H109"/>
  <c r="G109"/>
  <c r="I108"/>
  <c r="G108"/>
  <c r="G116" s="1"/>
  <c r="B107"/>
  <c r="A107"/>
  <c r="L106"/>
  <c r="L117" s="1"/>
  <c r="F106"/>
  <c r="J104"/>
  <c r="I104"/>
  <c r="H104"/>
  <c r="G104"/>
  <c r="J103"/>
  <c r="I103"/>
  <c r="H103"/>
  <c r="G103"/>
  <c r="J100"/>
  <c r="I100"/>
  <c r="I106" s="1"/>
  <c r="H100"/>
  <c r="H106" s="1"/>
  <c r="G100"/>
  <c r="B99"/>
  <c r="A99"/>
  <c r="L98"/>
  <c r="F98"/>
  <c r="I91"/>
  <c r="H91"/>
  <c r="G91"/>
  <c r="H90"/>
  <c r="H98" s="1"/>
  <c r="J89"/>
  <c r="J98" s="1"/>
  <c r="I89"/>
  <c r="G89"/>
  <c r="G98" s="1"/>
  <c r="B89"/>
  <c r="A89"/>
  <c r="L88"/>
  <c r="F88"/>
  <c r="J86"/>
  <c r="I86"/>
  <c r="H86"/>
  <c r="G86"/>
  <c r="J85"/>
  <c r="I85"/>
  <c r="H85"/>
  <c r="G85"/>
  <c r="J83"/>
  <c r="J88" s="1"/>
  <c r="I83"/>
  <c r="H83"/>
  <c r="I82"/>
  <c r="I88" s="1"/>
  <c r="H82"/>
  <c r="G82"/>
  <c r="G88" s="1"/>
  <c r="G99" s="1"/>
  <c r="B80"/>
  <c r="A80"/>
  <c r="L79"/>
  <c r="F79"/>
  <c r="J76"/>
  <c r="I76"/>
  <c r="H76"/>
  <c r="G76"/>
  <c r="J75"/>
  <c r="I75"/>
  <c r="H75"/>
  <c r="G75"/>
  <c r="I73"/>
  <c r="H73"/>
  <c r="H72"/>
  <c r="G72"/>
  <c r="I71"/>
  <c r="H71"/>
  <c r="G71"/>
  <c r="J70"/>
  <c r="I70"/>
  <c r="H70"/>
  <c r="G70"/>
  <c r="B70"/>
  <c r="A70"/>
  <c r="L69"/>
  <c r="F69"/>
  <c r="J65"/>
  <c r="J69" s="1"/>
  <c r="I65"/>
  <c r="I69" s="1"/>
  <c r="H65"/>
  <c r="H69" s="1"/>
  <c r="G65"/>
  <c r="G69" s="1"/>
  <c r="B61"/>
  <c r="A61"/>
  <c r="L60"/>
  <c r="F60"/>
  <c r="J57"/>
  <c r="I57"/>
  <c r="H57"/>
  <c r="G57"/>
  <c r="J56"/>
  <c r="I56"/>
  <c r="H56"/>
  <c r="G56"/>
  <c r="J54"/>
  <c r="I54"/>
  <c r="H54"/>
  <c r="G54"/>
  <c r="J53"/>
  <c r="I53"/>
  <c r="H53"/>
  <c r="H52"/>
  <c r="J51"/>
  <c r="I51"/>
  <c r="H51"/>
  <c r="G51"/>
  <c r="B51"/>
  <c r="A51"/>
  <c r="L50"/>
  <c r="F50"/>
  <c r="J48"/>
  <c r="I48"/>
  <c r="H48"/>
  <c r="G48"/>
  <c r="J47"/>
  <c r="I47"/>
  <c r="H47"/>
  <c r="G47"/>
  <c r="J45"/>
  <c r="I45"/>
  <c r="H45"/>
  <c r="G45"/>
  <c r="J44"/>
  <c r="J50" s="1"/>
  <c r="I44"/>
  <c r="I50" s="1"/>
  <c r="H44"/>
  <c r="H50" s="1"/>
  <c r="G44"/>
  <c r="G50" s="1"/>
  <c r="B42"/>
  <c r="A42"/>
  <c r="L41"/>
  <c r="J38"/>
  <c r="I38"/>
  <c r="H38"/>
  <c r="G38"/>
  <c r="J35"/>
  <c r="I35"/>
  <c r="H35"/>
  <c r="G35"/>
  <c r="J34"/>
  <c r="J41" s="1"/>
  <c r="I34"/>
  <c r="I41" s="1"/>
  <c r="H34"/>
  <c r="G34"/>
  <c r="H33"/>
  <c r="H41" s="1"/>
  <c r="G41"/>
  <c r="B32"/>
  <c r="A32"/>
  <c r="L31"/>
  <c r="F31"/>
  <c r="F42" s="1"/>
  <c r="J28"/>
  <c r="I28"/>
  <c r="H28"/>
  <c r="G28"/>
  <c r="J27"/>
  <c r="I27"/>
  <c r="H27"/>
  <c r="G27"/>
  <c r="J31"/>
  <c r="I31"/>
  <c r="H31"/>
  <c r="G31"/>
  <c r="B23"/>
  <c r="A23"/>
  <c r="F22"/>
  <c r="J18"/>
  <c r="I18"/>
  <c r="H18"/>
  <c r="G18"/>
  <c r="J16"/>
  <c r="I16"/>
  <c r="H16"/>
  <c r="G16"/>
  <c r="J15"/>
  <c r="I15"/>
  <c r="H15"/>
  <c r="H22" s="1"/>
  <c r="G15"/>
  <c r="J14"/>
  <c r="J22" s="1"/>
  <c r="I14"/>
  <c r="I22" s="1"/>
  <c r="G14"/>
  <c r="B13"/>
  <c r="A13"/>
  <c r="L12"/>
  <c r="F12"/>
  <c r="J10"/>
  <c r="I10"/>
  <c r="H10"/>
  <c r="G10"/>
  <c r="J6"/>
  <c r="I6"/>
  <c r="H6"/>
  <c r="H12" s="1"/>
  <c r="G6"/>
  <c r="G171" l="1"/>
  <c r="G172" s="1"/>
  <c r="I171"/>
  <c r="I172" s="1"/>
  <c r="I143"/>
  <c r="H171"/>
  <c r="J171"/>
  <c r="J172" s="1"/>
  <c r="G12"/>
  <c r="I12"/>
  <c r="G22"/>
  <c r="F117"/>
  <c r="H60"/>
  <c r="J60"/>
  <c r="H143"/>
  <c r="H154" s="1"/>
  <c r="J143"/>
  <c r="J154" s="1"/>
  <c r="F154"/>
  <c r="L154"/>
  <c r="G154"/>
  <c r="I154"/>
  <c r="J106"/>
  <c r="H116"/>
  <c r="H117" s="1"/>
  <c r="J116"/>
  <c r="J135"/>
  <c r="J12"/>
  <c r="J23" s="1"/>
  <c r="F80"/>
  <c r="G79"/>
  <c r="G80" s="1"/>
  <c r="I79"/>
  <c r="I80" s="1"/>
  <c r="G106"/>
  <c r="G117" s="1"/>
  <c r="I117"/>
  <c r="J117"/>
  <c r="H135"/>
  <c r="H172"/>
  <c r="H190"/>
  <c r="H61"/>
  <c r="J61"/>
  <c r="H79"/>
  <c r="H80" s="1"/>
  <c r="J79"/>
  <c r="F61"/>
  <c r="G60"/>
  <c r="G61" s="1"/>
  <c r="I60"/>
  <c r="I61" s="1"/>
  <c r="L80"/>
  <c r="H88"/>
  <c r="H99" s="1"/>
  <c r="L99"/>
  <c r="F99"/>
  <c r="I98"/>
  <c r="I99" s="1"/>
  <c r="J99"/>
  <c r="J80"/>
  <c r="L61"/>
  <c r="L42"/>
  <c r="I42"/>
  <c r="G42"/>
  <c r="H42"/>
  <c r="J42"/>
  <c r="L23"/>
  <c r="F23"/>
  <c r="H23"/>
  <c r="I23"/>
  <c r="F191" l="1"/>
  <c r="G23"/>
  <c r="G191" s="1"/>
  <c r="I191"/>
  <c r="L191"/>
  <c r="J191"/>
  <c r="H191"/>
</calcChain>
</file>

<file path=xl/sharedStrings.xml><?xml version="1.0" encoding="utf-8"?>
<sst xmlns="http://schemas.openxmlformats.org/spreadsheetml/2006/main" count="393" uniqueCount="143">
  <si>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</si>
  <si>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</si>
  <si>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</si>
  <si>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</si>
  <si>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</si>
  <si>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</si>
  <si>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</si>
  <si>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</si>
  <si>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</si>
  <si>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</si>
  <si>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</si>
  <si>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</si>
  <si>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</si>
  <si>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</si>
  <si>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</si>
  <si>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</si>
  <si>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</si>
  <si>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</si>
  <si>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</si>
  <si>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</si>
  <si>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</si>
  <si>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</si>
  <si>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</si>
  <si>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</si>
  <si>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</si>
  <si>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</si>
  <si>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</si>
  <si>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</si>
  <si>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</si>
  <si>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</si>
  <si>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</si>
  <si>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</si>
  <si>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</si>
  <si>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</si>
  <si>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</si>
  <si>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</si>
  <si>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</si>
  <si>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</si>
  <si>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</si>
  <si>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</si>
  <si>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</si>
  <si>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</si>
  <si>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</si>
  <si>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</si>
  <si>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</si>
  <si>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</si>
  <si>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</si>
  <si>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</si>
  <si>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</si>
  <si>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>Борщ из капусты с картофелем, сметаной и зеленью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</si>
  <si>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</si>
  <si>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</si>
  <si>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</si>
  <si>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</si>
  <si>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</si>
  <si>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</si>
  <si>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</si>
  <si>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</si>
  <si>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</si>
  <si>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</si>
  <si>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</si>
  <si>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</si>
  <si>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</si>
  <si>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</si>
  <si>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</si>
  <si>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</si>
  <si>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</si>
  <si>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</si>
  <si>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</si>
  <si>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</si>
  <si>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</si>
  <si>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</si>
  <si>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</si>
  <si>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</si>
  <si>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</si>
  <si>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</si>
  <si>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</si>
  <si>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</si>
  <si>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</si>
  <si>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</si>
  <si>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</si>
  <si>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</si>
  <si>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</si>
  <si>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</si>
  <si>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</si>
  <si>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</si>
  <si>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</si>
  <si>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</si>
  <si>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</si>
  <si>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Капуста тушеная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</si>
  <si>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</si>
  <si>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</si>
  <si>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</si>
  <si>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</si>
  <si>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</si>
  <si>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</si>
  <si>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</si>
  <si>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</si>
  <si>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</si>
  <si>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</si>
  <si>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</si>
  <si>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</si>
  <si>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</si>
  <si>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</si>
  <si>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</si>
  <si>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</si>
  <si>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</si>
  <si>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</si>
  <si>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</si>
  <si>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</si>
  <si>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</si>
  <si>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</si>
  <si>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</si>
  <si>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</si>
  <si>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</si>
  <si>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 xml:space="preserve">Суп-пюре картофельный </t>
  </si>
  <si>
    <t>29/2</t>
  </si>
  <si>
    <t>Соус "Болоньезе"</t>
  </si>
  <si>
    <t>44538/1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</si>
  <si>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</si>
  <si>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</si>
  <si>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</si>
  <si>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</si>
  <si>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</si>
  <si>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</si>
  <si>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 xml:space="preserve">Суп картофельный с бобовыми </t>
  </si>
  <si>
    <t>Салат из огурцов и помидоров,капусты с маслом растительным и зеленью</t>
  </si>
  <si>
    <t>Щи с капустой и картофелем со сметаной</t>
  </si>
  <si>
    <t>Греча с овощами</t>
  </si>
  <si>
    <t>40/3</t>
  </si>
  <si>
    <t>сладкое</t>
  </si>
  <si>
    <t>Биточки мясные паровые</t>
  </si>
  <si>
    <t>Рис, припущенный с овощами</t>
  </si>
  <si>
    <t>Суп овощной со сметаной,мясом и зеленью</t>
  </si>
  <si>
    <t xml:space="preserve">Суп картофельный с макаронными изделиями </t>
  </si>
  <si>
    <t>Тефтели мясные с рисом паровые</t>
  </si>
  <si>
    <t>Суп крестьянский с крупой,сметаной и зеленью</t>
  </si>
  <si>
    <t>02</t>
  </si>
  <si>
    <t>Плов из мяса кур</t>
  </si>
  <si>
    <t xml:space="preserve">Суп-лапша на куринном бульоне </t>
  </si>
  <si>
    <t>Запеканка из творога с рисом со сгущенным молоком</t>
  </si>
  <si>
    <t>4443.1</t>
  </si>
  <si>
    <t>МБОУ "СОШ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</si>
</sst>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49" fontId="23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R13" sqref="R13"/>
    </sheetView>
  </sheetViews>
  <sheetFormatPr defaultRowHeight="12.75"/>
  <cols>
    <col min="1" max="1" width="4.7109375" style="1" customWidth="1"/>
    <col min="2" max="2" width="5.28515625" style="1" customWidth="1"/>
    <col min="3" max="3" width="7" style="2" customWidth="1"/>
    <col min="4" max="4" width="12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20" t="s">
        <v>142</v>
      </c>
      <c r="D1" s="121"/>
      <c r="E1" s="121"/>
      <c r="F1" s="3" t="s">
        <v>1</v>
      </c>
      <c r="G1" s="1" t="s">
        <v>2</v>
      </c>
      <c r="H1" s="122" t="s">
        <v>123</v>
      </c>
      <c r="I1" s="123"/>
      <c r="J1" s="123"/>
      <c r="K1" s="124"/>
    </row>
    <row r="2" spans="1:12" ht="18">
      <c r="A2" s="4" t="s">
        <v>3</v>
      </c>
      <c r="C2" s="1"/>
      <c r="G2" s="1" t="s">
        <v>4</v>
      </c>
      <c r="H2" s="125" t="s">
        <v>124</v>
      </c>
      <c r="I2" s="126"/>
      <c r="J2" s="126"/>
      <c r="K2" s="12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119" t="s">
        <v>137</v>
      </c>
      <c r="J3" s="57">
        <v>2025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5">
      <c r="A6" s="13">
        <v>1</v>
      </c>
      <c r="B6" s="14">
        <v>1</v>
      </c>
      <c r="C6" s="15" t="s">
        <v>23</v>
      </c>
      <c r="D6" s="16" t="s">
        <v>24</v>
      </c>
      <c r="E6" s="88" t="s">
        <v>25</v>
      </c>
      <c r="F6" s="17">
        <v>200</v>
      </c>
      <c r="G6" s="17">
        <f>F6*5.5/200</f>
        <v>5.5</v>
      </c>
      <c r="H6" s="17">
        <f>F6*9.9/200</f>
        <v>9.9</v>
      </c>
      <c r="I6" s="17">
        <f>F6*39.26/200</f>
        <v>39.26</v>
      </c>
      <c r="J6" s="17">
        <f>F6*268/200</f>
        <v>268</v>
      </c>
      <c r="K6" s="60">
        <v>44443</v>
      </c>
      <c r="L6" s="61">
        <v>27.92</v>
      </c>
    </row>
    <row r="7" spans="1:12" ht="15.75">
      <c r="A7" s="18"/>
      <c r="B7" s="19"/>
      <c r="C7" s="20"/>
      <c r="D7" s="24" t="s">
        <v>26</v>
      </c>
      <c r="E7" s="89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79</v>
      </c>
      <c r="L7" s="49">
        <v>14.02</v>
      </c>
    </row>
    <row r="8" spans="1:12" ht="15.75">
      <c r="A8" s="18"/>
      <c r="B8" s="19"/>
      <c r="C8" s="20"/>
      <c r="D8" s="24" t="s">
        <v>28</v>
      </c>
      <c r="E8" s="90" t="s">
        <v>31</v>
      </c>
      <c r="F8" s="17">
        <v>40</v>
      </c>
      <c r="G8" s="17">
        <f>F8*6.1/50</f>
        <v>4.88</v>
      </c>
      <c r="H8" s="17">
        <f>F8*3.7/50</f>
        <v>2.96</v>
      </c>
      <c r="I8" s="17">
        <f>F8*17.5/50</f>
        <v>14</v>
      </c>
      <c r="J8" s="17">
        <f>F8*127.7/50</f>
        <v>102.16</v>
      </c>
      <c r="K8" s="62">
        <v>44240</v>
      </c>
      <c r="L8" s="49">
        <v>22.34</v>
      </c>
    </row>
    <row r="9" spans="1:12" ht="15.75">
      <c r="A9" s="18"/>
      <c r="B9" s="19"/>
      <c r="C9" s="20"/>
      <c r="D9" s="24" t="s">
        <v>44</v>
      </c>
      <c r="E9" s="89" t="s">
        <v>29</v>
      </c>
      <c r="F9" s="27">
        <v>30</v>
      </c>
      <c r="G9" s="27">
        <f>F9*1.68/30</f>
        <v>1.68</v>
      </c>
      <c r="H9" s="27">
        <f>F9*0.33/30</f>
        <v>0.33</v>
      </c>
      <c r="I9" s="27">
        <f>F9*14.82/30</f>
        <v>14.82</v>
      </c>
      <c r="J9" s="27">
        <f>F9*68.97/30</f>
        <v>68.97</v>
      </c>
      <c r="K9" s="63" t="s">
        <v>30</v>
      </c>
      <c r="L9" s="49">
        <v>1.61</v>
      </c>
    </row>
    <row r="10" spans="1:12" ht="15.75">
      <c r="A10" s="18"/>
      <c r="B10" s="19"/>
      <c r="C10" s="20"/>
      <c r="D10" s="21" t="s">
        <v>32</v>
      </c>
      <c r="E10" s="28" t="s">
        <v>33</v>
      </c>
      <c r="F10" s="27">
        <v>120</v>
      </c>
      <c r="G10" s="27">
        <f>F10*0.4/100</f>
        <v>0.48</v>
      </c>
      <c r="H10" s="27">
        <f>F10*0.4/100</f>
        <v>0.48</v>
      </c>
      <c r="I10" s="27">
        <f>F10*10.95/100</f>
        <v>13.14</v>
      </c>
      <c r="J10" s="27">
        <f>F10*49/100</f>
        <v>58.8</v>
      </c>
      <c r="K10" s="62" t="s">
        <v>30</v>
      </c>
      <c r="L10" s="49">
        <v>26.11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34</v>
      </c>
      <c r="E12" s="33"/>
      <c r="F12" s="34">
        <f>SUM(F6:F11)</f>
        <v>590</v>
      </c>
      <c r="G12" s="35">
        <f>SUM(G6:G11)</f>
        <v>15.64</v>
      </c>
      <c r="H12" s="35">
        <f>SUM(H6:H11)</f>
        <v>16.87</v>
      </c>
      <c r="I12" s="35">
        <f>SUM(I6:I11)</f>
        <v>95.61999999999999</v>
      </c>
      <c r="J12" s="35">
        <f>SUM(J6:J11)</f>
        <v>596.92999999999995</v>
      </c>
      <c r="K12" s="64"/>
      <c r="L12" s="35">
        <f>SUM(L6:L11)</f>
        <v>92</v>
      </c>
    </row>
    <row r="13" spans="1:12" ht="31.5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104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65" t="s">
        <v>105</v>
      </c>
      <c r="L13" s="49">
        <v>13.99</v>
      </c>
    </row>
    <row r="14" spans="1:12" ht="15.75">
      <c r="A14" s="18"/>
      <c r="B14" s="19"/>
      <c r="C14" s="20"/>
      <c r="D14" s="24" t="s">
        <v>37</v>
      </c>
      <c r="E14" s="97" t="s">
        <v>125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1" t="s">
        <v>106</v>
      </c>
      <c r="L14" s="49">
        <v>7.92</v>
      </c>
    </row>
    <row r="15" spans="1:12" ht="15.75">
      <c r="A15" s="18"/>
      <c r="B15" s="19"/>
      <c r="C15" s="20"/>
      <c r="D15" s="24" t="s">
        <v>38</v>
      </c>
      <c r="E15" s="39" t="s">
        <v>131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1" t="s">
        <v>98</v>
      </c>
      <c r="L15" s="49">
        <v>59.95</v>
      </c>
    </row>
    <row r="16" spans="1:12" ht="15.75">
      <c r="A16" s="18"/>
      <c r="B16" s="19"/>
      <c r="C16" s="20"/>
      <c r="D16" s="24" t="s">
        <v>39</v>
      </c>
      <c r="E16" s="40" t="s">
        <v>40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1" t="s">
        <v>95</v>
      </c>
      <c r="L16" s="49">
        <v>9.99</v>
      </c>
    </row>
    <row r="17" spans="1:12" ht="15.75">
      <c r="A17" s="18"/>
      <c r="B17" s="19"/>
      <c r="C17" s="20"/>
      <c r="D17" s="24" t="s">
        <v>130</v>
      </c>
      <c r="E17" s="40" t="s">
        <v>41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15.66</v>
      </c>
    </row>
    <row r="18" spans="1:12" ht="15.75">
      <c r="A18" s="18"/>
      <c r="B18" s="19"/>
      <c r="C18" s="20"/>
      <c r="D18" s="24" t="s">
        <v>42</v>
      </c>
      <c r="E18" s="28" t="s">
        <v>43</v>
      </c>
      <c r="F18" s="27">
        <v>30</v>
      </c>
      <c r="G18" s="27">
        <f>SUM(F18*2.37/30)</f>
        <v>2.37</v>
      </c>
      <c r="H18" s="27">
        <f>SUM(F18*0.3/30)</f>
        <v>0.3</v>
      </c>
      <c r="I18" s="27">
        <f>SUM(F18*14.49/30)</f>
        <v>14.49</v>
      </c>
      <c r="J18" s="27">
        <f>SUM(F18*70.14/30)</f>
        <v>70.14</v>
      </c>
      <c r="K18" s="65" t="s">
        <v>30</v>
      </c>
      <c r="L18" s="49">
        <v>1.88</v>
      </c>
    </row>
    <row r="19" spans="1:12" ht="15.75">
      <c r="A19" s="18"/>
      <c r="B19" s="19"/>
      <c r="C19" s="20"/>
      <c r="D19" s="24" t="s">
        <v>44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1.61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34</v>
      </c>
      <c r="E22" s="33"/>
      <c r="F22" s="34">
        <f>SUM(F13:F21)</f>
        <v>760</v>
      </c>
      <c r="G22" s="35">
        <f t="shared" ref="G22:J22" si="0">SUM(G13:G21)</f>
        <v>26.43</v>
      </c>
      <c r="H22" s="35">
        <f t="shared" si="0"/>
        <v>25.939999999999998</v>
      </c>
      <c r="I22" s="35">
        <f t="shared" si="0"/>
        <v>104.93</v>
      </c>
      <c r="J22" s="35">
        <f t="shared" si="0"/>
        <v>760.05000000000007</v>
      </c>
      <c r="K22" s="64"/>
      <c r="L22" s="35">
        <f>SUM(L13:L21)</f>
        <v>110.99999999999999</v>
      </c>
    </row>
    <row r="23" spans="1:12" ht="16.5" thickBot="1">
      <c r="A23" s="41">
        <f>A6</f>
        <v>1</v>
      </c>
      <c r="B23" s="42">
        <f>B6</f>
        <v>1</v>
      </c>
      <c r="C23" s="127" t="s">
        <v>45</v>
      </c>
      <c r="D23" s="128"/>
      <c r="E23" s="43"/>
      <c r="F23" s="44">
        <f>F12+F22</f>
        <v>1350</v>
      </c>
      <c r="G23" s="44">
        <f t="shared" ref="G23:J23" si="1">G12+G22</f>
        <v>42.07</v>
      </c>
      <c r="H23" s="44">
        <f t="shared" si="1"/>
        <v>42.81</v>
      </c>
      <c r="I23" s="44">
        <f t="shared" si="1"/>
        <v>200.55</v>
      </c>
      <c r="J23" s="44">
        <f t="shared" si="1"/>
        <v>1356.98</v>
      </c>
      <c r="K23" s="44"/>
      <c r="L23" s="52">
        <f t="shared" ref="L23" si="2">L12+L22</f>
        <v>203</v>
      </c>
    </row>
    <row r="24" spans="1:12" ht="32.25" thickBot="1">
      <c r="A24" s="45">
        <v>1</v>
      </c>
      <c r="B24" s="19">
        <v>2</v>
      </c>
      <c r="C24" s="15" t="s">
        <v>23</v>
      </c>
      <c r="D24" s="24" t="s">
        <v>36</v>
      </c>
      <c r="E24" s="28" t="s">
        <v>104</v>
      </c>
      <c r="F24" s="27">
        <v>60</v>
      </c>
      <c r="G24" s="27">
        <f>F24*0.6/60</f>
        <v>0.6</v>
      </c>
      <c r="H24" s="27">
        <f>F24*6/60</f>
        <v>6</v>
      </c>
      <c r="I24" s="27">
        <f>F24*4.76/60</f>
        <v>4.76</v>
      </c>
      <c r="J24" s="27">
        <f>F24*75.44/60</f>
        <v>75.44</v>
      </c>
      <c r="K24" s="65" t="s">
        <v>105</v>
      </c>
      <c r="L24" s="61">
        <v>13.99</v>
      </c>
    </row>
    <row r="25" spans="1:12" ht="15.75">
      <c r="A25" s="45"/>
      <c r="B25" s="19"/>
      <c r="C25" s="20"/>
      <c r="D25" s="16" t="s">
        <v>24</v>
      </c>
      <c r="E25" s="92" t="s">
        <v>107</v>
      </c>
      <c r="F25" s="27">
        <v>180</v>
      </c>
      <c r="G25" s="27">
        <f>F25*15.7/200</f>
        <v>14.13</v>
      </c>
      <c r="H25" s="27">
        <f>F25*15.7/200</f>
        <v>14.13</v>
      </c>
      <c r="I25" s="27">
        <f>F25*19.8/200</f>
        <v>17.82</v>
      </c>
      <c r="J25" s="27">
        <f>F25*254.97/180</f>
        <v>254.97</v>
      </c>
      <c r="K25" s="67">
        <v>44263</v>
      </c>
      <c r="L25" s="49">
        <v>69.12</v>
      </c>
    </row>
    <row r="26" spans="1:12" ht="15.75">
      <c r="A26" s="45"/>
      <c r="B26" s="19"/>
      <c r="C26" s="20"/>
      <c r="D26" s="24" t="s">
        <v>26</v>
      </c>
      <c r="E26" s="26" t="s">
        <v>46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109</v>
      </c>
      <c r="L26" s="49">
        <v>5.14</v>
      </c>
    </row>
    <row r="27" spans="1:12" ht="15.75">
      <c r="A27" s="45"/>
      <c r="B27" s="19"/>
      <c r="C27" s="20"/>
      <c r="D27" s="24" t="s">
        <v>42</v>
      </c>
      <c r="E27" s="28" t="s">
        <v>43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47</v>
      </c>
      <c r="L27" s="49">
        <v>2.14</v>
      </c>
    </row>
    <row r="28" spans="1:12" ht="15.75">
      <c r="A28" s="45"/>
      <c r="B28" s="19"/>
      <c r="C28" s="20"/>
      <c r="D28" s="24" t="s">
        <v>44</v>
      </c>
      <c r="E28" s="40" t="s">
        <v>29</v>
      </c>
      <c r="F28" s="27">
        <v>30</v>
      </c>
      <c r="G28" s="27">
        <f>SUM(F28*1.68/30)</f>
        <v>1.68</v>
      </c>
      <c r="H28" s="27">
        <f>SUM(F28*0.33/30)</f>
        <v>0.33</v>
      </c>
      <c r="I28" s="27">
        <f>SUM(F28*14.82/30)</f>
        <v>14.82</v>
      </c>
      <c r="J28" s="27">
        <f>SUM(F28*68.97/30)</f>
        <v>68.97</v>
      </c>
      <c r="K28" s="65" t="s">
        <v>47</v>
      </c>
      <c r="L28" s="49">
        <v>1.61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34</v>
      </c>
      <c r="E31" s="33"/>
      <c r="F31" s="35">
        <f>SUM(F24:F30)</f>
        <v>520</v>
      </c>
      <c r="G31" s="35">
        <f t="shared" ref="G31" si="3">SUM(G24:G30)</f>
        <v>20.46</v>
      </c>
      <c r="H31" s="35">
        <f t="shared" ref="H31" si="4">SUM(H24:H30)</f>
        <v>20.96</v>
      </c>
      <c r="I31" s="35">
        <f t="shared" ref="I31" si="5">SUM(I24:I30)</f>
        <v>71.449999999999989</v>
      </c>
      <c r="J31" s="35">
        <f t="shared" ref="J31:L31" si="6">SUM(J24:J30)</f>
        <v>556.28</v>
      </c>
      <c r="K31" s="64"/>
      <c r="L31" s="35">
        <f t="shared" si="6"/>
        <v>92</v>
      </c>
    </row>
    <row r="32" spans="1:12" ht="31.5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48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108</v>
      </c>
      <c r="L32" s="49">
        <v>13.45</v>
      </c>
    </row>
    <row r="33" spans="1:12" ht="31.5">
      <c r="A33" s="45"/>
      <c r="B33" s="19"/>
      <c r="C33" s="20"/>
      <c r="D33" s="24" t="s">
        <v>37</v>
      </c>
      <c r="E33" s="92" t="s">
        <v>49</v>
      </c>
      <c r="F33" s="27">
        <v>200</v>
      </c>
      <c r="G33" s="27">
        <f>F33*1.82/200</f>
        <v>1.82</v>
      </c>
      <c r="H33" s="27">
        <f>F33*4.16/200</f>
        <v>4.16</v>
      </c>
      <c r="I33" s="27">
        <f>F33*7.8/200</f>
        <v>7.8</v>
      </c>
      <c r="J33" s="27">
        <f>F33*75.92/200</f>
        <v>75.92</v>
      </c>
      <c r="K33" s="62">
        <v>44257</v>
      </c>
      <c r="L33" s="49">
        <v>18.809999999999999</v>
      </c>
    </row>
    <row r="34" spans="1:12" ht="15.75">
      <c r="A34" s="45"/>
      <c r="B34" s="19"/>
      <c r="C34" s="20"/>
      <c r="D34" s="24" t="s">
        <v>38</v>
      </c>
      <c r="E34" s="46" t="s">
        <v>50</v>
      </c>
      <c r="F34" s="27">
        <v>90</v>
      </c>
      <c r="G34" s="27">
        <f>F34*13.32/90</f>
        <v>13.32</v>
      </c>
      <c r="H34" s="27">
        <f>F34*11.16/90</f>
        <v>11.16</v>
      </c>
      <c r="I34" s="27">
        <f>F34*8.19/90</f>
        <v>8.19</v>
      </c>
      <c r="J34" s="27">
        <f>F34*186.3/90</f>
        <v>186.3</v>
      </c>
      <c r="K34" s="62">
        <v>44325</v>
      </c>
      <c r="L34" s="49">
        <v>49.55</v>
      </c>
    </row>
    <row r="35" spans="1:12" ht="15.75">
      <c r="A35" s="45"/>
      <c r="B35" s="19"/>
      <c r="C35" s="20"/>
      <c r="D35" s="24" t="s">
        <v>39</v>
      </c>
      <c r="E35" s="26" t="s">
        <v>132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3" t="s">
        <v>82</v>
      </c>
      <c r="L35" s="49">
        <v>12.61</v>
      </c>
    </row>
    <row r="36" spans="1:12" ht="15.75">
      <c r="A36" s="45"/>
      <c r="B36" s="19"/>
      <c r="C36" s="20"/>
      <c r="D36" s="24" t="s">
        <v>130</v>
      </c>
      <c r="E36" s="46" t="s">
        <v>51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52</v>
      </c>
      <c r="L36" s="49">
        <v>13.09</v>
      </c>
    </row>
    <row r="37" spans="1:12" ht="15.75">
      <c r="A37" s="45"/>
      <c r="B37" s="19"/>
      <c r="C37" s="20"/>
      <c r="D37" s="24" t="s">
        <v>42</v>
      </c>
      <c r="E37" s="28" t="s">
        <v>43</v>
      </c>
      <c r="F37" s="27">
        <v>30</v>
      </c>
      <c r="G37" s="27">
        <f>SUM(F37*2.37/30)</f>
        <v>2.37</v>
      </c>
      <c r="H37" s="27">
        <f>SUM(F37*0.3/30)</f>
        <v>0.3</v>
      </c>
      <c r="I37" s="27">
        <f>SUM(F37*14.49/30)</f>
        <v>14.49</v>
      </c>
      <c r="J37" s="27">
        <f>SUM(F37*70.14/30)</f>
        <v>70.14</v>
      </c>
      <c r="K37" s="62" t="s">
        <v>30</v>
      </c>
      <c r="L37" s="49">
        <v>1.88</v>
      </c>
    </row>
    <row r="38" spans="1:12" ht="15.75">
      <c r="A38" s="45"/>
      <c r="B38" s="19"/>
      <c r="C38" s="20"/>
      <c r="D38" s="24" t="s">
        <v>44</v>
      </c>
      <c r="E38" s="40" t="s">
        <v>29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30</v>
      </c>
      <c r="L38" s="49">
        <v>1.61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34</v>
      </c>
      <c r="E41" s="33"/>
      <c r="F41" s="35">
        <f>F32+F33+F34+F35+F36+F37+F38</f>
        <v>800</v>
      </c>
      <c r="G41" s="35">
        <f t="shared" ref="G41" si="7">SUM(G32:G40)</f>
        <v>23.94</v>
      </c>
      <c r="H41" s="35">
        <f t="shared" ref="H41" si="8">SUM(H32:H40)</f>
        <v>29.05</v>
      </c>
      <c r="I41" s="35">
        <f t="shared" ref="I41" si="9">SUM(I32:I40)</f>
        <v>104.6</v>
      </c>
      <c r="J41" s="35">
        <f t="shared" ref="J41:L41" si="10">SUM(J32:J40)</f>
        <v>775.75</v>
      </c>
      <c r="K41" s="64"/>
      <c r="L41" s="35">
        <f t="shared" si="10"/>
        <v>111</v>
      </c>
    </row>
    <row r="42" spans="1:12" ht="15.75" customHeight="1">
      <c r="A42" s="51">
        <f>A24</f>
        <v>1</v>
      </c>
      <c r="B42" s="51">
        <f>B24</f>
        <v>2</v>
      </c>
      <c r="C42" s="127" t="s">
        <v>45</v>
      </c>
      <c r="D42" s="128"/>
      <c r="E42" s="43"/>
      <c r="F42" s="52">
        <f>F31+F41</f>
        <v>1320</v>
      </c>
      <c r="G42" s="52">
        <f t="shared" ref="G42" si="11">G31+G41</f>
        <v>44.400000000000006</v>
      </c>
      <c r="H42" s="52">
        <f t="shared" ref="H42" si="12">H31+H41</f>
        <v>50.010000000000005</v>
      </c>
      <c r="I42" s="52">
        <f t="shared" ref="I42" si="13">I31+I41</f>
        <v>176.04999999999998</v>
      </c>
      <c r="J42" s="52">
        <f t="shared" ref="J42:L42" si="14">J31+J41</f>
        <v>1332.03</v>
      </c>
      <c r="K42" s="44"/>
      <c r="L42" s="52">
        <f t="shared" si="14"/>
        <v>203</v>
      </c>
    </row>
    <row r="43" spans="1:12" ht="15.75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38</v>
      </c>
      <c r="E44" s="53" t="s">
        <v>53</v>
      </c>
      <c r="F44" s="27">
        <v>100</v>
      </c>
      <c r="G44" s="27">
        <f>F44*17.19/90</f>
        <v>19.100000000000001</v>
      </c>
      <c r="H44" s="27">
        <f>F44*14.31/90</f>
        <v>15.9</v>
      </c>
      <c r="I44" s="27">
        <f>F44*0.18/90</f>
        <v>0.2</v>
      </c>
      <c r="J44" s="27">
        <f>F44*198/90</f>
        <v>220</v>
      </c>
      <c r="K44" s="68">
        <v>4232</v>
      </c>
      <c r="L44" s="61">
        <v>71.86</v>
      </c>
    </row>
    <row r="45" spans="1:12" ht="15.75">
      <c r="A45" s="18"/>
      <c r="B45" s="19"/>
      <c r="C45" s="20"/>
      <c r="D45" s="21" t="s">
        <v>39</v>
      </c>
      <c r="E45" s="40" t="s">
        <v>40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9.99</v>
      </c>
    </row>
    <row r="46" spans="1:12" ht="15.75">
      <c r="A46" s="18"/>
      <c r="B46" s="19"/>
      <c r="C46" s="20"/>
      <c r="D46" s="24" t="s">
        <v>26</v>
      </c>
      <c r="E46" s="26" t="s">
        <v>54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6.66</v>
      </c>
    </row>
    <row r="47" spans="1:12" ht="15.75">
      <c r="A47" s="18"/>
      <c r="B47" s="19"/>
      <c r="C47" s="20"/>
      <c r="D47" s="24" t="s">
        <v>42</v>
      </c>
      <c r="E47" s="28" t="s">
        <v>43</v>
      </c>
      <c r="F47" s="27">
        <v>30</v>
      </c>
      <c r="G47" s="27">
        <f>SUM(F47*2.37/30)</f>
        <v>2.37</v>
      </c>
      <c r="H47" s="27">
        <f>SUM(F47*0.3/30)</f>
        <v>0.3</v>
      </c>
      <c r="I47" s="27">
        <f>SUM(F47*14.49/30)</f>
        <v>14.49</v>
      </c>
      <c r="J47" s="27">
        <f>SUM(F47*70.14/30)</f>
        <v>70.14</v>
      </c>
      <c r="K47" s="62" t="s">
        <v>30</v>
      </c>
      <c r="L47" s="49">
        <v>1.88</v>
      </c>
    </row>
    <row r="48" spans="1:12" ht="15.75">
      <c r="A48" s="18"/>
      <c r="B48" s="19"/>
      <c r="C48" s="20"/>
      <c r="D48" s="24" t="s">
        <v>44</v>
      </c>
      <c r="E48" s="40" t="s">
        <v>29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30</v>
      </c>
      <c r="L48" s="49">
        <v>1.61</v>
      </c>
    </row>
    <row r="49" spans="1:12" ht="15.75">
      <c r="A49" s="18"/>
      <c r="B49" s="19"/>
      <c r="C49" s="20"/>
      <c r="D49" s="21"/>
      <c r="E49" s="22"/>
      <c r="F49" s="49"/>
      <c r="G49" s="49"/>
      <c r="H49" s="49"/>
      <c r="I49" s="49"/>
      <c r="J49" s="49"/>
      <c r="K49" s="62"/>
      <c r="L49" s="49"/>
    </row>
    <row r="50" spans="1:12" ht="15.75">
      <c r="A50" s="29"/>
      <c r="B50" s="30"/>
      <c r="C50" s="31"/>
      <c r="D50" s="32" t="s">
        <v>34</v>
      </c>
      <c r="E50" s="33"/>
      <c r="F50" s="35">
        <f>SUM(F43:F49)</f>
        <v>510</v>
      </c>
      <c r="G50" s="35">
        <f t="shared" ref="G50" si="15">SUM(G43:G49)</f>
        <v>29.450000000000003</v>
      </c>
      <c r="H50" s="35">
        <f t="shared" ref="H50" si="16">SUM(H43:H49)</f>
        <v>19.63</v>
      </c>
      <c r="I50" s="35">
        <f t="shared" ref="I50" si="17">SUM(I43:I49)</f>
        <v>81.710000000000008</v>
      </c>
      <c r="J50" s="35">
        <f t="shared" ref="J50:L50" si="18">SUM(J43:J49)</f>
        <v>621.21</v>
      </c>
      <c r="K50" s="64"/>
      <c r="L50" s="35">
        <f t="shared" si="18"/>
        <v>91.999999999999986</v>
      </c>
    </row>
    <row r="51" spans="1:12" ht="31.5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55</v>
      </c>
      <c r="F51" s="27">
        <v>90</v>
      </c>
      <c r="G51" s="27">
        <f>F51*1.02/60</f>
        <v>1.53</v>
      </c>
      <c r="H51" s="27">
        <f>F51*3.6/60</f>
        <v>5.4</v>
      </c>
      <c r="I51" s="27">
        <f>F51*4.74/60</f>
        <v>7.11</v>
      </c>
      <c r="J51" s="27">
        <f>F51*55.44/60</f>
        <v>83.16</v>
      </c>
      <c r="K51" s="62">
        <v>44348</v>
      </c>
      <c r="L51" s="49">
        <v>9.3800000000000008</v>
      </c>
    </row>
    <row r="52" spans="1:12" ht="15.75">
      <c r="A52" s="18"/>
      <c r="B52" s="19"/>
      <c r="C52" s="20"/>
      <c r="D52" s="24" t="s">
        <v>37</v>
      </c>
      <c r="E52" s="53" t="s">
        <v>139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56</v>
      </c>
      <c r="L52" s="49">
        <v>18.440000000000001</v>
      </c>
    </row>
    <row r="53" spans="1:12" ht="15.75">
      <c r="A53" s="18"/>
      <c r="B53" s="19"/>
      <c r="C53" s="20"/>
      <c r="D53" s="24" t="s">
        <v>38</v>
      </c>
      <c r="E53" s="94" t="s">
        <v>57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3" t="s">
        <v>110</v>
      </c>
      <c r="L53" s="49">
        <v>63.95</v>
      </c>
    </row>
    <row r="54" spans="1:12" ht="15.75">
      <c r="A54" s="18"/>
      <c r="B54" s="19"/>
      <c r="C54" s="20"/>
      <c r="D54" s="24" t="s">
        <v>39</v>
      </c>
      <c r="E54" s="54" t="s">
        <v>58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5" t="s">
        <v>87</v>
      </c>
      <c r="L54" s="49">
        <v>9.91</v>
      </c>
    </row>
    <row r="55" spans="1:12" ht="15.75">
      <c r="A55" s="18"/>
      <c r="B55" s="19"/>
      <c r="C55" s="20"/>
      <c r="D55" s="24" t="s">
        <v>130</v>
      </c>
      <c r="E55" s="54" t="s">
        <v>59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5.2</v>
      </c>
    </row>
    <row r="56" spans="1:12" ht="15.75">
      <c r="A56" s="18"/>
      <c r="B56" s="19"/>
      <c r="C56" s="20"/>
      <c r="D56" s="24" t="s">
        <v>42</v>
      </c>
      <c r="E56" s="28" t="s">
        <v>43</v>
      </c>
      <c r="F56" s="27">
        <v>40</v>
      </c>
      <c r="G56" s="27">
        <f>SUM(F56*2.37/30)</f>
        <v>3.1600000000000006</v>
      </c>
      <c r="H56" s="27">
        <f>SUM(F56*0.3/30)</f>
        <v>0.4</v>
      </c>
      <c r="I56" s="27">
        <f>SUM(F56*14.49/30)</f>
        <v>19.32</v>
      </c>
      <c r="J56" s="27">
        <f>SUM(F56*70.14/30)</f>
        <v>93.52</v>
      </c>
      <c r="K56" s="62" t="s">
        <v>30</v>
      </c>
      <c r="L56" s="49">
        <v>2.5099999999999998</v>
      </c>
    </row>
    <row r="57" spans="1:12" ht="15.75">
      <c r="A57" s="18"/>
      <c r="B57" s="19"/>
      <c r="C57" s="20"/>
      <c r="D57" s="24" t="s">
        <v>44</v>
      </c>
      <c r="E57" s="40" t="s">
        <v>29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30</v>
      </c>
      <c r="L57" s="49">
        <v>1.61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34</v>
      </c>
      <c r="E60" s="33"/>
      <c r="F60" s="35">
        <f>SUM(F51:F59)</f>
        <v>800</v>
      </c>
      <c r="G60" s="35">
        <f t="shared" ref="G60" si="19">SUM(G51:G59)</f>
        <v>26.9</v>
      </c>
      <c r="H60" s="35">
        <f t="shared" ref="H60" si="20">SUM(H51:H59)</f>
        <v>26.019999999999996</v>
      </c>
      <c r="I60" s="35">
        <f t="shared" ref="I60" si="21">SUM(I51:I59)</f>
        <v>110.28999999999999</v>
      </c>
      <c r="J60" s="35">
        <f t="shared" ref="J60:L60" si="22">SUM(J51:J59)</f>
        <v>783.15</v>
      </c>
      <c r="K60" s="64"/>
      <c r="L60" s="35">
        <f t="shared" si="22"/>
        <v>111.00000000000001</v>
      </c>
    </row>
    <row r="61" spans="1:12" ht="15.75" customHeight="1">
      <c r="A61" s="41">
        <f>A43</f>
        <v>1</v>
      </c>
      <c r="B61" s="42">
        <f>B43</f>
        <v>3</v>
      </c>
      <c r="C61" s="127" t="s">
        <v>45</v>
      </c>
      <c r="D61" s="128"/>
      <c r="E61" s="43"/>
      <c r="F61" s="52">
        <f>F50+F60</f>
        <v>1310</v>
      </c>
      <c r="G61" s="52">
        <f t="shared" ref="G61" si="23">G50+G60</f>
        <v>56.35</v>
      </c>
      <c r="H61" s="52">
        <f t="shared" ref="H61" si="24">H50+H60</f>
        <v>45.649999999999991</v>
      </c>
      <c r="I61" s="52">
        <f t="shared" ref="I61" si="25">I50+I60</f>
        <v>192</v>
      </c>
      <c r="J61" s="52">
        <f t="shared" ref="J61:L61" si="26">J50+J60</f>
        <v>1404.3600000000001</v>
      </c>
      <c r="K61" s="44"/>
      <c r="L61" s="52">
        <f t="shared" si="26"/>
        <v>203</v>
      </c>
    </row>
    <row r="62" spans="1:12" ht="15.75">
      <c r="A62" s="13">
        <v>1</v>
      </c>
      <c r="B62" s="14">
        <v>4</v>
      </c>
      <c r="C62" s="15" t="s">
        <v>23</v>
      </c>
      <c r="D62" s="16" t="s">
        <v>24</v>
      </c>
      <c r="E62" s="55" t="s">
        <v>60</v>
      </c>
      <c r="F62" s="56">
        <v>190</v>
      </c>
      <c r="G62" s="48">
        <f>F62*19.5/200</f>
        <v>18.524999999999999</v>
      </c>
      <c r="H62" s="48">
        <f>F62*21.2/200</f>
        <v>20.14</v>
      </c>
      <c r="I62" s="48">
        <f>F62*17.7/200</f>
        <v>16.815000000000001</v>
      </c>
      <c r="J62" s="48">
        <f>F62*339.6/200</f>
        <v>322.62000000000006</v>
      </c>
      <c r="K62" s="60">
        <v>44233</v>
      </c>
      <c r="L62" s="70">
        <v>52.9</v>
      </c>
    </row>
    <row r="63" spans="1:12" ht="15.75">
      <c r="A63" s="18"/>
      <c r="B63" s="19"/>
      <c r="C63" s="20"/>
      <c r="D63" s="24" t="s">
        <v>26</v>
      </c>
      <c r="E63" s="26" t="s">
        <v>61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62</v>
      </c>
      <c r="L63" s="71">
        <v>2.91</v>
      </c>
    </row>
    <row r="64" spans="1:12" ht="15.75">
      <c r="A64" s="18"/>
      <c r="B64" s="19"/>
      <c r="C64" s="20"/>
      <c r="D64" s="24" t="s">
        <v>28</v>
      </c>
      <c r="E64" s="26" t="s">
        <v>31</v>
      </c>
      <c r="F64" s="17">
        <v>60</v>
      </c>
      <c r="G64" s="17">
        <f>F64*6.1/50</f>
        <v>7.32</v>
      </c>
      <c r="H64" s="17">
        <f>F64*3.7/50</f>
        <v>4.4400000000000004</v>
      </c>
      <c r="I64" s="17">
        <f>F64*17.5/50</f>
        <v>21</v>
      </c>
      <c r="J64" s="17">
        <f>F64*127.7/50</f>
        <v>153.24</v>
      </c>
      <c r="K64" s="63">
        <v>44240</v>
      </c>
      <c r="L64" s="71">
        <v>33.51</v>
      </c>
    </row>
    <row r="65" spans="1:12" ht="15.75">
      <c r="A65" s="18"/>
      <c r="B65" s="19"/>
      <c r="C65" s="20"/>
      <c r="D65" s="24" t="s">
        <v>63</v>
      </c>
      <c r="E65" s="40" t="s">
        <v>29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30</v>
      </c>
      <c r="L65" s="49">
        <v>2.68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34</v>
      </c>
      <c r="E69" s="33"/>
      <c r="F69" s="35">
        <f>SUM(F62:F68)</f>
        <v>500</v>
      </c>
      <c r="G69" s="35">
        <f t="shared" ref="G69" si="27">SUM(G62:G68)</f>
        <v>28.745000000000001</v>
      </c>
      <c r="H69" s="35">
        <f t="shared" ref="H69" si="28">SUM(H62:H68)</f>
        <v>25.130000000000003</v>
      </c>
      <c r="I69" s="35">
        <f t="shared" ref="I69" si="29">SUM(I62:I68)</f>
        <v>72.314999999999998</v>
      </c>
      <c r="J69" s="35">
        <f t="shared" ref="J69:L69" si="30">SUM(J62:J68)</f>
        <v>629.81000000000017</v>
      </c>
      <c r="K69" s="64"/>
      <c r="L69" s="35">
        <f t="shared" si="30"/>
        <v>92</v>
      </c>
    </row>
    <row r="70" spans="1:12" ht="31.5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96" t="s">
        <v>126</v>
      </c>
      <c r="F70" s="48">
        <v>60</v>
      </c>
      <c r="G70" s="27">
        <f>F70*0.72/60</f>
        <v>0.72</v>
      </c>
      <c r="H70" s="27">
        <f>F70*3.6/60</f>
        <v>3.6</v>
      </c>
      <c r="I70" s="27">
        <f>F70*9.72/60</f>
        <v>9.7200000000000006</v>
      </c>
      <c r="J70" s="27">
        <f>F70*74.16/60</f>
        <v>74.16</v>
      </c>
      <c r="K70" s="65" t="s">
        <v>64</v>
      </c>
      <c r="L70" s="49">
        <v>12.63</v>
      </c>
    </row>
    <row r="71" spans="1:12" ht="15.75">
      <c r="A71" s="18"/>
      <c r="B71" s="19"/>
      <c r="C71" s="20"/>
      <c r="D71" s="24" t="s">
        <v>37</v>
      </c>
      <c r="E71" s="53" t="s">
        <v>65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66</v>
      </c>
      <c r="L71" s="49">
        <v>15.91</v>
      </c>
    </row>
    <row r="72" spans="1:12" ht="15.75">
      <c r="A72" s="18"/>
      <c r="B72" s="19"/>
      <c r="C72" s="20"/>
      <c r="D72" s="24" t="s">
        <v>38</v>
      </c>
      <c r="E72" s="54" t="s">
        <v>67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68</v>
      </c>
      <c r="L72" s="49">
        <v>47.69</v>
      </c>
    </row>
    <row r="73" spans="1:12" ht="15.75">
      <c r="A73" s="18"/>
      <c r="B73" s="19"/>
      <c r="C73" s="20"/>
      <c r="D73" s="24" t="s">
        <v>39</v>
      </c>
      <c r="E73" s="54" t="s">
        <v>69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16.329999999999998</v>
      </c>
    </row>
    <row r="74" spans="1:12" ht="15.75">
      <c r="A74" s="18"/>
      <c r="B74" s="19"/>
      <c r="C74" s="20"/>
      <c r="D74" s="24" t="s">
        <v>130</v>
      </c>
      <c r="E74" s="26" t="s">
        <v>70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14.68</v>
      </c>
    </row>
    <row r="75" spans="1:12" ht="15.75">
      <c r="A75" s="18"/>
      <c r="B75" s="19"/>
      <c r="C75" s="20"/>
      <c r="D75" s="24" t="s">
        <v>42</v>
      </c>
      <c r="E75" s="28" t="s">
        <v>43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2.15</v>
      </c>
    </row>
    <row r="76" spans="1:12" ht="15.75">
      <c r="A76" s="18"/>
      <c r="B76" s="19"/>
      <c r="C76" s="20"/>
      <c r="D76" s="24" t="s">
        <v>44</v>
      </c>
      <c r="E76" s="40" t="s">
        <v>29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30</v>
      </c>
      <c r="L76" s="49">
        <v>1.61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34</v>
      </c>
      <c r="E79" s="33"/>
      <c r="F79" s="35">
        <f>SUM(F70:F78)</f>
        <v>780</v>
      </c>
      <c r="G79" s="35">
        <f t="shared" ref="G79" si="31">SUM(G70:G78)</f>
        <v>31.599999999999998</v>
      </c>
      <c r="H79" s="35">
        <f t="shared" ref="H79" si="32">SUM(H70:H78)</f>
        <v>28.819999999999997</v>
      </c>
      <c r="I79" s="35">
        <f t="shared" ref="I79" si="33">SUM(I70:I78)</f>
        <v>102.16999999999999</v>
      </c>
      <c r="J79" s="35">
        <f t="shared" ref="J79:L79" si="34">SUM(J70:J78)</f>
        <v>793.89</v>
      </c>
      <c r="K79" s="64"/>
      <c r="L79" s="35">
        <f t="shared" si="34"/>
        <v>110.99999999999999</v>
      </c>
    </row>
    <row r="80" spans="1:12" ht="15.75" customHeight="1">
      <c r="A80" s="41">
        <f>A62</f>
        <v>1</v>
      </c>
      <c r="B80" s="42">
        <f>B62</f>
        <v>4</v>
      </c>
      <c r="C80" s="127" t="s">
        <v>45</v>
      </c>
      <c r="D80" s="128"/>
      <c r="E80" s="43"/>
      <c r="F80" s="52">
        <f>F69+F79</f>
        <v>1280</v>
      </c>
      <c r="G80" s="52">
        <f t="shared" ref="G80" si="35">G69+G79</f>
        <v>60.344999999999999</v>
      </c>
      <c r="H80" s="52">
        <f t="shared" ref="H80" si="36">H69+H79</f>
        <v>53.95</v>
      </c>
      <c r="I80" s="52">
        <f t="shared" ref="I80" si="37">I69+I79</f>
        <v>174.48499999999999</v>
      </c>
      <c r="J80" s="52">
        <f t="shared" ref="J80:L80" si="38">J69+J79</f>
        <v>1423.7000000000003</v>
      </c>
      <c r="K80" s="44"/>
      <c r="L80" s="52">
        <f t="shared" si="38"/>
        <v>203</v>
      </c>
    </row>
    <row r="81" spans="1:12" ht="15.75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38</v>
      </c>
      <c r="E82" s="96" t="s">
        <v>111</v>
      </c>
      <c r="F82" s="48">
        <v>90</v>
      </c>
      <c r="G82" s="48">
        <f>F82*14/100</f>
        <v>12.6</v>
      </c>
      <c r="H82" s="48">
        <f>F82*15/100</f>
        <v>13.5</v>
      </c>
      <c r="I82" s="48">
        <f>F82*8.7/100</f>
        <v>7.8299999999999992</v>
      </c>
      <c r="J82" s="48">
        <f>F82*203.22/90</f>
        <v>203.22</v>
      </c>
      <c r="K82" s="66" t="s">
        <v>71</v>
      </c>
      <c r="L82" s="49">
        <v>56.02</v>
      </c>
    </row>
    <row r="83" spans="1:12" ht="15.75">
      <c r="A83" s="18"/>
      <c r="B83" s="19"/>
      <c r="C83" s="20"/>
      <c r="D83" s="21" t="s">
        <v>39</v>
      </c>
      <c r="E83" s="54" t="s">
        <v>72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18.25</v>
      </c>
    </row>
    <row r="84" spans="1:12" ht="15.75">
      <c r="A84" s="18"/>
      <c r="B84" s="19"/>
      <c r="C84" s="20"/>
      <c r="D84" s="24" t="s">
        <v>26</v>
      </c>
      <c r="E84" s="26" t="s">
        <v>73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74</v>
      </c>
      <c r="L84" s="49">
        <v>14.24</v>
      </c>
    </row>
    <row r="85" spans="1:12" ht="15.75">
      <c r="A85" s="18"/>
      <c r="B85" s="19"/>
      <c r="C85" s="20"/>
      <c r="D85" s="24" t="s">
        <v>42</v>
      </c>
      <c r="E85" s="28" t="s">
        <v>43</v>
      </c>
      <c r="F85" s="48">
        <v>30</v>
      </c>
      <c r="G85" s="48">
        <f>SUM(F85*2.37/30)</f>
        <v>2.37</v>
      </c>
      <c r="H85" s="48">
        <f>SUM(F85*0.3/30)</f>
        <v>0.3</v>
      </c>
      <c r="I85" s="48">
        <f>SUM(F85*14.49/30)</f>
        <v>14.49</v>
      </c>
      <c r="J85" s="48">
        <f>SUM(F85*70.14/30)</f>
        <v>70.14</v>
      </c>
      <c r="K85" s="62" t="s">
        <v>30</v>
      </c>
      <c r="L85" s="49">
        <v>1.88</v>
      </c>
    </row>
    <row r="86" spans="1:12" ht="15.75">
      <c r="A86" s="18"/>
      <c r="B86" s="19"/>
      <c r="C86" s="20"/>
      <c r="D86" s="24" t="s">
        <v>44</v>
      </c>
      <c r="E86" s="40" t="s">
        <v>29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1.61</v>
      </c>
    </row>
    <row r="87" spans="1:12" ht="15.75">
      <c r="A87" s="18"/>
      <c r="B87" s="19"/>
      <c r="C87" s="20"/>
      <c r="D87" s="21"/>
      <c r="E87" s="47"/>
      <c r="F87" s="27"/>
      <c r="G87" s="27"/>
      <c r="H87" s="27"/>
      <c r="I87" s="27"/>
      <c r="J87" s="27"/>
      <c r="K87" s="69"/>
      <c r="L87" s="49"/>
    </row>
    <row r="88" spans="1:12" ht="15.75">
      <c r="A88" s="29"/>
      <c r="B88" s="30"/>
      <c r="C88" s="31"/>
      <c r="D88" s="32" t="s">
        <v>34</v>
      </c>
      <c r="E88" s="33"/>
      <c r="F88" s="35">
        <f>SUM(F81:F87)</f>
        <v>500</v>
      </c>
      <c r="G88" s="35">
        <f t="shared" ref="G88" si="39">SUM(G81:G87)</f>
        <v>23.42</v>
      </c>
      <c r="H88" s="35">
        <f t="shared" ref="H88" si="40">SUM(H81:H87)</f>
        <v>21.1</v>
      </c>
      <c r="I88" s="35">
        <f t="shared" ref="I88" si="41">SUM(I81:I87)</f>
        <v>80.34</v>
      </c>
      <c r="J88" s="35">
        <f t="shared" ref="J88:L88" si="42">SUM(J81:J87)</f>
        <v>604.83000000000004</v>
      </c>
      <c r="K88" s="64"/>
      <c r="L88" s="35">
        <f t="shared" si="42"/>
        <v>92</v>
      </c>
    </row>
    <row r="89" spans="1:12" ht="31.5">
      <c r="A89" s="36">
        <f>A81</f>
        <v>1</v>
      </c>
      <c r="B89" s="37">
        <f>B81</f>
        <v>5</v>
      </c>
      <c r="C89" s="38" t="s">
        <v>35</v>
      </c>
      <c r="D89" s="24" t="s">
        <v>36</v>
      </c>
      <c r="E89" s="97" t="s">
        <v>112</v>
      </c>
      <c r="F89" s="27">
        <v>100</v>
      </c>
      <c r="G89" s="27">
        <f>F89*0.84/60</f>
        <v>1.4</v>
      </c>
      <c r="H89" s="27">
        <f>F89*3.6/60+0.9</f>
        <v>6.9</v>
      </c>
      <c r="I89" s="27">
        <f>F89*4.08/60</f>
        <v>6.8</v>
      </c>
      <c r="J89" s="27">
        <f>F89*52.2/60</f>
        <v>87</v>
      </c>
      <c r="K89" s="62" t="s">
        <v>75</v>
      </c>
      <c r="L89" s="49">
        <v>8.43</v>
      </c>
    </row>
    <row r="90" spans="1:12" ht="31.5">
      <c r="A90" s="18"/>
      <c r="B90" s="19"/>
      <c r="C90" s="20"/>
      <c r="D90" s="24" t="s">
        <v>37</v>
      </c>
      <c r="E90" s="53" t="s">
        <v>133</v>
      </c>
      <c r="F90" s="48">
        <v>250</v>
      </c>
      <c r="G90" s="48">
        <f>F90*1.9/200-0.08</f>
        <v>2.2949999999999999</v>
      </c>
      <c r="H90" s="48">
        <f>F90*5.52/200</f>
        <v>6.9</v>
      </c>
      <c r="I90" s="48">
        <f>F90*9.4/200-0.05</f>
        <v>11.7</v>
      </c>
      <c r="J90" s="48">
        <f>F90*94.8/200-0.9</f>
        <v>117.6</v>
      </c>
      <c r="K90" s="91" t="s">
        <v>113</v>
      </c>
      <c r="L90" s="49">
        <v>28.55</v>
      </c>
    </row>
    <row r="91" spans="1:12" ht="15.75">
      <c r="A91" s="18"/>
      <c r="B91" s="19"/>
      <c r="C91" s="20"/>
      <c r="D91" s="24" t="s">
        <v>38</v>
      </c>
      <c r="E91" s="54" t="s">
        <v>138</v>
      </c>
      <c r="F91" s="48">
        <v>230</v>
      </c>
      <c r="G91" s="48">
        <f>F91*18.5/250</f>
        <v>17.02</v>
      </c>
      <c r="H91" s="48">
        <f>F91*20.6/250</f>
        <v>18.952000000000002</v>
      </c>
      <c r="I91" s="48">
        <f>F91*43.2/250</f>
        <v>39.744</v>
      </c>
      <c r="J91" s="48">
        <f>F91*397.62/230</f>
        <v>397.62</v>
      </c>
      <c r="K91" s="62">
        <v>44294</v>
      </c>
      <c r="L91" s="49">
        <v>60.93</v>
      </c>
    </row>
    <row r="92" spans="1:12" ht="15.75">
      <c r="A92" s="18"/>
      <c r="B92" s="19"/>
      <c r="C92" s="20"/>
      <c r="D92" s="24" t="s">
        <v>130</v>
      </c>
      <c r="E92" s="46" t="s">
        <v>76</v>
      </c>
      <c r="F92" s="48">
        <v>200</v>
      </c>
      <c r="G92" s="48">
        <v>0.2</v>
      </c>
      <c r="H92" s="48">
        <v>0.1</v>
      </c>
      <c r="I92" s="48">
        <v>13.1</v>
      </c>
      <c r="J92" s="48">
        <v>54.1</v>
      </c>
      <c r="K92" s="71" t="s">
        <v>77</v>
      </c>
      <c r="L92" s="49">
        <v>7.7</v>
      </c>
    </row>
    <row r="93" spans="1:12" ht="15.75">
      <c r="A93" s="18"/>
      <c r="B93" s="19"/>
      <c r="C93" s="20"/>
      <c r="D93" s="24" t="s">
        <v>42</v>
      </c>
      <c r="E93" s="28" t="s">
        <v>43</v>
      </c>
      <c r="F93" s="48">
        <v>50</v>
      </c>
      <c r="G93" s="48">
        <f>SUM(F93*2.37/30)</f>
        <v>3.95</v>
      </c>
      <c r="H93" s="48">
        <f>SUM(F93*0.3/30)</f>
        <v>0.5</v>
      </c>
      <c r="I93" s="48">
        <f>SUM(F93*14.49/30)</f>
        <v>24.15</v>
      </c>
      <c r="J93" s="48">
        <f>SUM(F93*70.14/30)</f>
        <v>116.9</v>
      </c>
      <c r="K93" s="62" t="s">
        <v>30</v>
      </c>
      <c r="L93" s="49">
        <v>3.14</v>
      </c>
    </row>
    <row r="94" spans="1:12" ht="15.75">
      <c r="A94" s="18"/>
      <c r="B94" s="19"/>
      <c r="C94" s="20"/>
      <c r="D94" s="24" t="s">
        <v>44</v>
      </c>
      <c r="E94" s="40" t="s">
        <v>29</v>
      </c>
      <c r="F94" s="48">
        <v>30</v>
      </c>
      <c r="G94" s="48">
        <f>SUM(F94*1.68/30)</f>
        <v>1.68</v>
      </c>
      <c r="H94" s="48">
        <f>SUM(F94*0.33/30)</f>
        <v>0.33</v>
      </c>
      <c r="I94" s="48">
        <f>SUM(F94*14.82/30)</f>
        <v>14.82</v>
      </c>
      <c r="J94" s="48">
        <f>SUM(F94*68.97/30)</f>
        <v>68.97</v>
      </c>
      <c r="K94" s="62" t="s">
        <v>30</v>
      </c>
      <c r="L94" s="49">
        <v>2.25</v>
      </c>
    </row>
    <row r="95" spans="1:12" ht="15.75">
      <c r="A95" s="18"/>
      <c r="B95" s="19"/>
      <c r="C95" s="20"/>
      <c r="D95" s="24"/>
      <c r="E95" s="40"/>
      <c r="F95" s="48"/>
      <c r="G95" s="48"/>
      <c r="H95" s="48"/>
      <c r="I95" s="48"/>
      <c r="J95" s="48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18"/>
      <c r="B97" s="19"/>
      <c r="C97" s="20"/>
      <c r="D97" s="21"/>
      <c r="E97" s="22"/>
      <c r="F97" s="49"/>
      <c r="G97" s="49"/>
      <c r="H97" s="49"/>
      <c r="I97" s="49"/>
      <c r="J97" s="49"/>
      <c r="K97" s="62"/>
      <c r="L97" s="49"/>
    </row>
    <row r="98" spans="1:12" ht="15.75">
      <c r="A98" s="29"/>
      <c r="B98" s="30"/>
      <c r="C98" s="31"/>
      <c r="D98" s="32" t="s">
        <v>34</v>
      </c>
      <c r="E98" s="33"/>
      <c r="F98" s="35">
        <f>SUM(F89:F97)</f>
        <v>860</v>
      </c>
      <c r="G98" s="35">
        <f t="shared" ref="G98" si="43">SUM(G89:G97)</f>
        <v>26.544999999999998</v>
      </c>
      <c r="H98" s="35">
        <f t="shared" ref="H98" si="44">SUM(H89:H97)</f>
        <v>33.682000000000002</v>
      </c>
      <c r="I98" s="35">
        <f t="shared" ref="I98" si="45">SUM(I89:I97)</f>
        <v>110.31399999999999</v>
      </c>
      <c r="J98" s="35">
        <f t="shared" ref="J98:L98" si="46">SUM(J89:J97)</f>
        <v>842.19</v>
      </c>
      <c r="K98" s="64"/>
      <c r="L98" s="35">
        <f t="shared" si="46"/>
        <v>111</v>
      </c>
    </row>
    <row r="99" spans="1:12" ht="15.75" customHeight="1">
      <c r="A99" s="41">
        <f>A81</f>
        <v>1</v>
      </c>
      <c r="B99" s="42">
        <f>B81</f>
        <v>5</v>
      </c>
      <c r="C99" s="127" t="s">
        <v>45</v>
      </c>
      <c r="D99" s="128"/>
      <c r="E99" s="43"/>
      <c r="F99" s="52">
        <f>F88+F98</f>
        <v>1360</v>
      </c>
      <c r="G99" s="52">
        <f t="shared" ref="G99" si="47">G88+G98</f>
        <v>49.965000000000003</v>
      </c>
      <c r="H99" s="52">
        <f t="shared" ref="H99" si="48">H88+H98</f>
        <v>54.782000000000004</v>
      </c>
      <c r="I99" s="52">
        <f t="shared" ref="I99" si="49">I88+I98</f>
        <v>190.654</v>
      </c>
      <c r="J99" s="52">
        <f t="shared" ref="J99:L99" si="50">J88+J98</f>
        <v>1447.02</v>
      </c>
      <c r="K99" s="44"/>
      <c r="L99" s="52">
        <f t="shared" si="50"/>
        <v>203</v>
      </c>
    </row>
    <row r="100" spans="1:12" ht="31.5">
      <c r="A100" s="13">
        <v>2</v>
      </c>
      <c r="B100" s="14">
        <v>1</v>
      </c>
      <c r="C100" s="15" t="s">
        <v>23</v>
      </c>
      <c r="D100" s="16" t="s">
        <v>24</v>
      </c>
      <c r="E100" s="46" t="s">
        <v>78</v>
      </c>
      <c r="F100" s="72">
        <v>200</v>
      </c>
      <c r="G100" s="27">
        <f>F100*8.2/220</f>
        <v>7.4545454545454533</v>
      </c>
      <c r="H100" s="27">
        <f>F100*12.54/220</f>
        <v>11.4</v>
      </c>
      <c r="I100" s="27">
        <f>F100*34.43/220</f>
        <v>31.3</v>
      </c>
      <c r="J100" s="27">
        <f>F100*283.58/220</f>
        <v>257.8</v>
      </c>
      <c r="K100" s="76">
        <v>45398</v>
      </c>
      <c r="L100" s="61">
        <v>27.44</v>
      </c>
    </row>
    <row r="101" spans="1:12" ht="15.75">
      <c r="A101" s="18"/>
      <c r="B101" s="19"/>
      <c r="C101" s="20"/>
      <c r="D101" s="24" t="s">
        <v>26</v>
      </c>
      <c r="E101" s="25" t="s">
        <v>27</v>
      </c>
      <c r="F101" s="17">
        <v>200</v>
      </c>
      <c r="G101" s="17">
        <v>3.1</v>
      </c>
      <c r="H101" s="17">
        <v>3.2</v>
      </c>
      <c r="I101" s="17">
        <v>14.4</v>
      </c>
      <c r="J101" s="17">
        <v>99</v>
      </c>
      <c r="K101" s="62" t="s">
        <v>79</v>
      </c>
      <c r="L101" s="49">
        <v>14.02</v>
      </c>
    </row>
    <row r="102" spans="1:12" ht="15.75">
      <c r="A102" s="18"/>
      <c r="B102" s="19"/>
      <c r="C102" s="20"/>
      <c r="D102" s="21" t="s">
        <v>28</v>
      </c>
      <c r="E102" s="26" t="s">
        <v>31</v>
      </c>
      <c r="F102" s="17">
        <v>40</v>
      </c>
      <c r="G102" s="17">
        <f>F102*6.1/50</f>
        <v>4.88</v>
      </c>
      <c r="H102" s="17">
        <f>F102*3.7/50</f>
        <v>2.96</v>
      </c>
      <c r="I102" s="17">
        <f>F102*17.5/50</f>
        <v>14</v>
      </c>
      <c r="J102" s="17">
        <f>F102*127.7/50</f>
        <v>102.16</v>
      </c>
      <c r="K102" s="63">
        <v>44240</v>
      </c>
      <c r="L102" s="49">
        <v>22.34</v>
      </c>
    </row>
    <row r="103" spans="1:12" ht="15.75">
      <c r="A103" s="18"/>
      <c r="B103" s="19"/>
      <c r="C103" s="20"/>
      <c r="D103" s="24" t="s">
        <v>44</v>
      </c>
      <c r="E103" s="40" t="s">
        <v>29</v>
      </c>
      <c r="F103" s="27">
        <v>30</v>
      </c>
      <c r="G103" s="27">
        <f>SUM(F103*1.68/30)</f>
        <v>1.68</v>
      </c>
      <c r="H103" s="27">
        <f>SUM(F103*0.33/30)</f>
        <v>0.33</v>
      </c>
      <c r="I103" s="27">
        <f>SUM(F103*14.82/30)</f>
        <v>14.82</v>
      </c>
      <c r="J103" s="27">
        <f>SUM(F103*68.97/30)</f>
        <v>68.97</v>
      </c>
      <c r="K103" s="62" t="s">
        <v>30</v>
      </c>
      <c r="L103" s="49">
        <v>1.61</v>
      </c>
    </row>
    <row r="104" spans="1:12" ht="15.75">
      <c r="A104" s="18"/>
      <c r="B104" s="19"/>
      <c r="C104" s="20"/>
      <c r="D104" s="21" t="s">
        <v>80</v>
      </c>
      <c r="E104" s="97" t="s">
        <v>103</v>
      </c>
      <c r="F104" s="27">
        <v>100</v>
      </c>
      <c r="G104" s="27">
        <f>F104*0.4/100</f>
        <v>0.4</v>
      </c>
      <c r="H104" s="27">
        <f>F104*0.4/100</f>
        <v>0.4</v>
      </c>
      <c r="I104" s="27">
        <f>F104*10.95/100</f>
        <v>10.95</v>
      </c>
      <c r="J104" s="27">
        <f>F104*49/100</f>
        <v>49</v>
      </c>
      <c r="K104" s="62" t="s">
        <v>30</v>
      </c>
      <c r="L104" s="49">
        <v>26.59</v>
      </c>
    </row>
    <row r="105" spans="1:12" ht="15.75">
      <c r="A105" s="18"/>
      <c r="B105" s="19"/>
      <c r="C105" s="20"/>
      <c r="D105" s="21"/>
      <c r="E105" s="22"/>
      <c r="F105" s="49"/>
      <c r="G105" s="49"/>
      <c r="H105" s="49"/>
      <c r="I105" s="49"/>
      <c r="J105" s="49"/>
      <c r="K105" s="62"/>
      <c r="L105" s="49"/>
    </row>
    <row r="106" spans="1:12" ht="15.75">
      <c r="A106" s="29"/>
      <c r="B106" s="30"/>
      <c r="C106" s="31"/>
      <c r="D106" s="32" t="s">
        <v>34</v>
      </c>
      <c r="E106" s="33"/>
      <c r="F106" s="35">
        <f>SUM(F100:F105)</f>
        <v>570</v>
      </c>
      <c r="G106" s="35">
        <f>SUM(G100:G105)</f>
        <v>17.514545454545452</v>
      </c>
      <c r="H106" s="35">
        <f>SUM(H100:H105)</f>
        <v>18.29</v>
      </c>
      <c r="I106" s="35">
        <f>SUM(I100:I105)</f>
        <v>85.470000000000013</v>
      </c>
      <c r="J106" s="35">
        <f>SUM(J100:J105)</f>
        <v>576.93000000000006</v>
      </c>
      <c r="K106" s="64"/>
      <c r="L106" s="35">
        <f>SUM(L100:L105)</f>
        <v>92</v>
      </c>
    </row>
    <row r="107" spans="1:12" ht="31.5">
      <c r="A107" s="36">
        <f>A100</f>
        <v>2</v>
      </c>
      <c r="B107" s="37">
        <f>B100</f>
        <v>1</v>
      </c>
      <c r="C107" s="38" t="s">
        <v>35</v>
      </c>
      <c r="D107" s="24" t="s">
        <v>36</v>
      </c>
      <c r="E107" s="28" t="s">
        <v>104</v>
      </c>
      <c r="F107" s="27">
        <v>60</v>
      </c>
      <c r="G107" s="27">
        <f>F107*0.6/60</f>
        <v>0.6</v>
      </c>
      <c r="H107" s="27">
        <f>F107*6/60</f>
        <v>6</v>
      </c>
      <c r="I107" s="27">
        <f>F107*4.76/60</f>
        <v>4.76</v>
      </c>
      <c r="J107" s="27">
        <f>F107*75.44/60</f>
        <v>75.44</v>
      </c>
      <c r="K107" s="65" t="s">
        <v>105</v>
      </c>
      <c r="L107" s="48">
        <v>15.77</v>
      </c>
    </row>
    <row r="108" spans="1:12" ht="31.5">
      <c r="A108" s="18"/>
      <c r="B108" s="19"/>
      <c r="C108" s="20"/>
      <c r="D108" s="24" t="s">
        <v>37</v>
      </c>
      <c r="E108" s="53" t="s">
        <v>134</v>
      </c>
      <c r="F108" s="27">
        <v>200</v>
      </c>
      <c r="G108" s="27">
        <f>F108*3.6/200</f>
        <v>3.6</v>
      </c>
      <c r="H108" s="27">
        <f>F108*4.1/200</f>
        <v>4.0999999999999996</v>
      </c>
      <c r="I108" s="27">
        <f>F108*24.7/200</f>
        <v>24.7</v>
      </c>
      <c r="J108" s="27">
        <f>F108*151/200</f>
        <v>151</v>
      </c>
      <c r="K108" s="66" t="s">
        <v>81</v>
      </c>
      <c r="L108" s="48">
        <v>7.65</v>
      </c>
    </row>
    <row r="109" spans="1:12" ht="15.75">
      <c r="A109" s="18"/>
      <c r="B109" s="19"/>
      <c r="C109" s="20"/>
      <c r="D109" s="24" t="s">
        <v>38</v>
      </c>
      <c r="E109" s="46" t="s">
        <v>50</v>
      </c>
      <c r="F109" s="27">
        <v>90</v>
      </c>
      <c r="G109" s="27">
        <f>F109*13.32/90</f>
        <v>13.32</v>
      </c>
      <c r="H109" s="27">
        <f>F109*11.16/90</f>
        <v>11.16</v>
      </c>
      <c r="I109" s="27">
        <f>F109*8.19/90</f>
        <v>8.19</v>
      </c>
      <c r="J109" s="27">
        <f>F109*186.3/90</f>
        <v>186.3</v>
      </c>
      <c r="K109" s="62">
        <v>44325</v>
      </c>
      <c r="L109" s="48">
        <v>49.55</v>
      </c>
    </row>
    <row r="110" spans="1:12" ht="15.75">
      <c r="A110" s="18"/>
      <c r="B110" s="19"/>
      <c r="C110" s="20"/>
      <c r="D110" s="24" t="s">
        <v>39</v>
      </c>
      <c r="E110" s="98" t="s">
        <v>114</v>
      </c>
      <c r="F110" s="27">
        <v>150</v>
      </c>
      <c r="G110" s="27">
        <f>F110*3.67/150</f>
        <v>3.67</v>
      </c>
      <c r="H110" s="27">
        <f>F110*5.42/150</f>
        <v>5.42</v>
      </c>
      <c r="I110" s="27">
        <f>F110*36.67/150</f>
        <v>36.67</v>
      </c>
      <c r="J110" s="27">
        <f>F110*210.11/150</f>
        <v>210.11</v>
      </c>
      <c r="K110" s="62" t="s">
        <v>82</v>
      </c>
      <c r="L110" s="48">
        <v>20.13</v>
      </c>
    </row>
    <row r="111" spans="1:12" ht="15.75">
      <c r="A111" s="18"/>
      <c r="B111" s="19"/>
      <c r="C111" s="20"/>
      <c r="D111" s="24" t="s">
        <v>130</v>
      </c>
      <c r="E111" s="54" t="s">
        <v>83</v>
      </c>
      <c r="F111" s="48">
        <v>200</v>
      </c>
      <c r="G111" s="48">
        <v>1</v>
      </c>
      <c r="H111" s="48">
        <v>0</v>
      </c>
      <c r="I111" s="48">
        <v>27.4</v>
      </c>
      <c r="J111" s="48">
        <v>113.6</v>
      </c>
      <c r="K111" s="66">
        <v>16</v>
      </c>
      <c r="L111" s="48">
        <v>12.42</v>
      </c>
    </row>
    <row r="112" spans="1:12" ht="15.75">
      <c r="A112" s="18"/>
      <c r="B112" s="19"/>
      <c r="C112" s="20"/>
      <c r="D112" s="24" t="s">
        <v>42</v>
      </c>
      <c r="E112" s="28" t="s">
        <v>43</v>
      </c>
      <c r="F112" s="48">
        <v>50</v>
      </c>
      <c r="G112" s="48">
        <f>SUM(F112*2.37/30)</f>
        <v>3.95</v>
      </c>
      <c r="H112" s="48">
        <f>SUM(F112*0.3/30)</f>
        <v>0.5</v>
      </c>
      <c r="I112" s="48">
        <f>SUM(F112*14.49/30)</f>
        <v>24.15</v>
      </c>
      <c r="J112" s="48">
        <f>SUM(F112*70.14/30)</f>
        <v>116.9</v>
      </c>
      <c r="K112" s="69" t="s">
        <v>30</v>
      </c>
      <c r="L112" s="48">
        <v>3.14</v>
      </c>
    </row>
    <row r="113" spans="1:12" ht="15.75">
      <c r="A113" s="18"/>
      <c r="B113" s="19"/>
      <c r="C113" s="20"/>
      <c r="D113" s="24" t="s">
        <v>44</v>
      </c>
      <c r="E113" s="40" t="s">
        <v>29</v>
      </c>
      <c r="F113" s="48">
        <v>30</v>
      </c>
      <c r="G113" s="48">
        <f>SUM(F113*1.68/30)</f>
        <v>1.68</v>
      </c>
      <c r="H113" s="48">
        <f>SUM(F113*0.33/30)</f>
        <v>0.33</v>
      </c>
      <c r="I113" s="48">
        <f>SUM(F113*14.82/30)</f>
        <v>14.82</v>
      </c>
      <c r="J113" s="48">
        <f>SUM(F113*68.97/30)</f>
        <v>68.97</v>
      </c>
      <c r="K113" s="69" t="s">
        <v>47</v>
      </c>
      <c r="L113" s="48">
        <v>2.34</v>
      </c>
    </row>
    <row r="114" spans="1:12" ht="15.75">
      <c r="A114" s="18"/>
      <c r="B114" s="19"/>
      <c r="C114" s="20"/>
      <c r="D114" s="21"/>
      <c r="E114" s="54"/>
      <c r="F114" s="48"/>
      <c r="G114" s="48"/>
      <c r="H114" s="48"/>
      <c r="I114" s="48"/>
      <c r="J114" s="48"/>
      <c r="K114" s="77"/>
      <c r="L114" s="48"/>
    </row>
    <row r="115" spans="1:12" ht="15.75">
      <c r="A115" s="18"/>
      <c r="B115" s="19"/>
      <c r="C115" s="20"/>
      <c r="D115" s="21"/>
      <c r="E115" s="22"/>
      <c r="F115" s="49"/>
      <c r="G115" s="49"/>
      <c r="H115" s="49"/>
      <c r="I115" s="49"/>
      <c r="J115" s="49"/>
      <c r="K115" s="62"/>
      <c r="L115" s="49"/>
    </row>
    <row r="116" spans="1:12" ht="15.75">
      <c r="A116" s="29"/>
      <c r="B116" s="30"/>
      <c r="C116" s="31"/>
      <c r="D116" s="32" t="s">
        <v>34</v>
      </c>
      <c r="E116" s="33"/>
      <c r="F116" s="35">
        <f>SUM(F107:F115)</f>
        <v>780</v>
      </c>
      <c r="G116" s="35">
        <f t="shared" ref="G116:J116" si="51">SUM(G107:G115)</f>
        <v>27.819999999999997</v>
      </c>
      <c r="H116" s="35">
        <f t="shared" si="51"/>
        <v>27.509999999999998</v>
      </c>
      <c r="I116" s="35">
        <f t="shared" si="51"/>
        <v>140.69</v>
      </c>
      <c r="J116" s="35">
        <f t="shared" si="51"/>
        <v>922.32</v>
      </c>
      <c r="K116" s="64"/>
      <c r="L116" s="35">
        <f t="shared" ref="L116" si="52">SUM(L107:L115)</f>
        <v>111</v>
      </c>
    </row>
    <row r="117" spans="1:12" ht="15.75">
      <c r="A117" s="41">
        <f>A100</f>
        <v>2</v>
      </c>
      <c r="B117" s="42">
        <f>B100</f>
        <v>1</v>
      </c>
      <c r="C117" s="127" t="s">
        <v>45</v>
      </c>
      <c r="D117" s="128"/>
      <c r="E117" s="43"/>
      <c r="F117" s="52">
        <f>F106+F116</f>
        <v>1350</v>
      </c>
      <c r="G117" s="52">
        <f t="shared" ref="G117" si="53">G106+G116</f>
        <v>45.334545454545449</v>
      </c>
      <c r="H117" s="52">
        <f t="shared" ref="H117" si="54">H106+H116</f>
        <v>45.8</v>
      </c>
      <c r="I117" s="52">
        <f t="shared" ref="I117" si="55">I106+I116</f>
        <v>226.16000000000003</v>
      </c>
      <c r="J117" s="52">
        <f t="shared" ref="J117:L117" si="56">J106+J116</f>
        <v>1499.25</v>
      </c>
      <c r="K117" s="44"/>
      <c r="L117" s="52">
        <f t="shared" si="56"/>
        <v>203</v>
      </c>
    </row>
    <row r="118" spans="1:12" ht="31.5">
      <c r="A118" s="45">
        <v>2</v>
      </c>
      <c r="B118" s="19">
        <v>2</v>
      </c>
      <c r="C118" s="15" t="s">
        <v>23</v>
      </c>
      <c r="D118" s="16" t="s">
        <v>24</v>
      </c>
      <c r="E118" s="92" t="s">
        <v>140</v>
      </c>
      <c r="F118" s="27">
        <v>200</v>
      </c>
      <c r="G118" s="27">
        <f>F118*35.2/200</f>
        <v>35.200000000000003</v>
      </c>
      <c r="H118" s="27">
        <f>F118*21/200</f>
        <v>21</v>
      </c>
      <c r="I118" s="27">
        <f>F118*37.6/200</f>
        <v>37.6</v>
      </c>
      <c r="J118" s="27">
        <f>F118*478/200</f>
        <v>478</v>
      </c>
      <c r="K118" s="60" t="s">
        <v>141</v>
      </c>
      <c r="L118" s="61">
        <v>69.97</v>
      </c>
    </row>
    <row r="119" spans="1:12" ht="15.75">
      <c r="A119" s="45"/>
      <c r="B119" s="19"/>
      <c r="C119" s="20"/>
      <c r="D119" s="24" t="s">
        <v>26</v>
      </c>
      <c r="E119" s="46" t="s">
        <v>84</v>
      </c>
      <c r="F119" s="73">
        <v>200</v>
      </c>
      <c r="G119" s="27">
        <v>0.2</v>
      </c>
      <c r="H119" s="27">
        <v>0</v>
      </c>
      <c r="I119" s="27">
        <v>13.7</v>
      </c>
      <c r="J119" s="27">
        <v>56</v>
      </c>
      <c r="K119" s="62" t="s">
        <v>85</v>
      </c>
      <c r="L119" s="49">
        <v>3.03</v>
      </c>
    </row>
    <row r="120" spans="1:12" ht="15.75">
      <c r="A120" s="45"/>
      <c r="B120" s="19"/>
      <c r="C120" s="20"/>
      <c r="D120" s="24" t="s">
        <v>28</v>
      </c>
      <c r="E120" s="26" t="s">
        <v>86</v>
      </c>
      <c r="F120" s="27">
        <v>50</v>
      </c>
      <c r="G120" s="27">
        <f>F120*3.2/50</f>
        <v>3.2</v>
      </c>
      <c r="H120" s="27">
        <f>F120*7.7/50</f>
        <v>7.7</v>
      </c>
      <c r="I120" s="27">
        <f>F120*19.5/50</f>
        <v>19.5</v>
      </c>
      <c r="J120" s="27">
        <f>F120*160/50</f>
        <v>160</v>
      </c>
      <c r="K120" s="63">
        <v>44209</v>
      </c>
      <c r="L120" s="49">
        <v>16.91</v>
      </c>
    </row>
    <row r="121" spans="1:12" ht="15.75">
      <c r="A121" s="45"/>
      <c r="B121" s="19"/>
      <c r="C121" s="20"/>
      <c r="D121" s="24" t="s">
        <v>44</v>
      </c>
      <c r="E121" s="40" t="s">
        <v>29</v>
      </c>
      <c r="F121" s="48">
        <v>50</v>
      </c>
      <c r="G121" s="48">
        <f>SUM(F121*1.68/30)</f>
        <v>2.8</v>
      </c>
      <c r="H121" s="48">
        <f>SUM(F121*0.33/30)</f>
        <v>0.55000000000000004</v>
      </c>
      <c r="I121" s="48">
        <f>SUM(F121*14.82/30)</f>
        <v>24.7</v>
      </c>
      <c r="J121" s="48">
        <f>SUM(F121*68.97/30)</f>
        <v>114.95</v>
      </c>
      <c r="K121" s="62" t="s">
        <v>30</v>
      </c>
      <c r="L121" s="49">
        <v>2.09</v>
      </c>
    </row>
    <row r="122" spans="1:12" ht="15.75">
      <c r="A122" s="45"/>
      <c r="B122" s="19"/>
      <c r="C122" s="20"/>
      <c r="D122" s="21"/>
      <c r="E122" s="26"/>
      <c r="F122" s="27"/>
      <c r="G122" s="27"/>
      <c r="H122" s="27"/>
      <c r="I122" s="27"/>
      <c r="J122" s="27"/>
      <c r="K122" s="62"/>
      <c r="L122" s="49"/>
    </row>
    <row r="123" spans="1:12" ht="15.75">
      <c r="A123" s="45"/>
      <c r="B123" s="19"/>
      <c r="C123" s="20"/>
      <c r="D123" s="21"/>
      <c r="E123" s="22"/>
      <c r="F123" s="49"/>
      <c r="G123" s="49"/>
      <c r="H123" s="49"/>
      <c r="I123" s="49"/>
      <c r="J123" s="49"/>
      <c r="K123" s="62"/>
      <c r="L123" s="49"/>
    </row>
    <row r="124" spans="1:12" ht="15.75">
      <c r="A124" s="50"/>
      <c r="B124" s="30"/>
      <c r="C124" s="31"/>
      <c r="D124" s="32" t="s">
        <v>34</v>
      </c>
      <c r="E124" s="33"/>
      <c r="F124" s="35">
        <f>SUM(F118:F123)</f>
        <v>500</v>
      </c>
      <c r="G124" s="35">
        <f>SUM(G118:G123)</f>
        <v>41.400000000000006</v>
      </c>
      <c r="H124" s="35">
        <f>SUM(H118:H123)</f>
        <v>29.25</v>
      </c>
      <c r="I124" s="35">
        <f>SUM(I118:I123)</f>
        <v>95.5</v>
      </c>
      <c r="J124" s="35">
        <f>SUM(J118:J123)</f>
        <v>808.95</v>
      </c>
      <c r="K124" s="64"/>
      <c r="L124" s="35">
        <f>SUM(L118:L123)</f>
        <v>92</v>
      </c>
    </row>
    <row r="125" spans="1:12" ht="31.5">
      <c r="A125" s="37">
        <f>A118</f>
        <v>2</v>
      </c>
      <c r="B125" s="37">
        <f>B118</f>
        <v>2</v>
      </c>
      <c r="C125" s="38" t="s">
        <v>35</v>
      </c>
      <c r="D125" s="24" t="s">
        <v>36</v>
      </c>
      <c r="E125" s="96" t="s">
        <v>119</v>
      </c>
      <c r="F125" s="27">
        <v>60</v>
      </c>
      <c r="G125" s="27">
        <f>F125*1.5/60</f>
        <v>1.5</v>
      </c>
      <c r="H125" s="27">
        <f>F125*6/60</f>
        <v>6</v>
      </c>
      <c r="I125" s="27">
        <f>F125*4.25/60</f>
        <v>4.25</v>
      </c>
      <c r="J125" s="27">
        <f>F125*77/60</f>
        <v>77</v>
      </c>
      <c r="K125" s="66">
        <v>44409</v>
      </c>
      <c r="L125" s="49">
        <v>20.29</v>
      </c>
    </row>
    <row r="126" spans="1:12" ht="15.75">
      <c r="A126" s="45"/>
      <c r="B126" s="19"/>
      <c r="C126" s="20"/>
      <c r="D126" s="24" t="s">
        <v>37</v>
      </c>
      <c r="E126" s="96" t="s">
        <v>115</v>
      </c>
      <c r="F126" s="27">
        <v>200</v>
      </c>
      <c r="G126" s="27">
        <f>F126*2.56/200</f>
        <v>2.56</v>
      </c>
      <c r="H126" s="27">
        <f>F126*2.96/200</f>
        <v>2.96</v>
      </c>
      <c r="I126" s="27">
        <f>F126*17.44/200</f>
        <v>17.440000000000001</v>
      </c>
      <c r="J126" s="27">
        <f>F126*106.4/200</f>
        <v>106.4</v>
      </c>
      <c r="K126" s="95" t="s">
        <v>116</v>
      </c>
      <c r="L126" s="49">
        <v>14.29</v>
      </c>
    </row>
    <row r="127" spans="1:12" ht="15.75">
      <c r="A127" s="45"/>
      <c r="B127" s="19"/>
      <c r="C127" s="20"/>
      <c r="D127" s="24" t="s">
        <v>38</v>
      </c>
      <c r="E127" s="96" t="s">
        <v>117</v>
      </c>
      <c r="F127" s="27">
        <v>90</v>
      </c>
      <c r="G127" s="27">
        <f>F127*14.9/100</f>
        <v>13.41</v>
      </c>
      <c r="H127" s="27">
        <f>F127*15.7/100</f>
        <v>14.13</v>
      </c>
      <c r="I127" s="27">
        <f>F127*4.7/100</f>
        <v>4.2300000000000004</v>
      </c>
      <c r="J127" s="27">
        <f>F127*221/100</f>
        <v>198.9</v>
      </c>
      <c r="K127" s="95" t="s">
        <v>118</v>
      </c>
      <c r="L127" s="49">
        <v>49.74</v>
      </c>
    </row>
    <row r="128" spans="1:12" ht="15.75">
      <c r="A128" s="45"/>
      <c r="B128" s="19"/>
      <c r="C128" s="20"/>
      <c r="D128" s="24" t="s">
        <v>39</v>
      </c>
      <c r="E128" s="54" t="s">
        <v>58</v>
      </c>
      <c r="F128" s="27">
        <v>150</v>
      </c>
      <c r="G128" s="27">
        <f>F128*6.63/150</f>
        <v>6.63</v>
      </c>
      <c r="H128" s="27">
        <f>F128*4.44/150</f>
        <v>4.4400000000000004</v>
      </c>
      <c r="I128" s="27">
        <f>F128*28.8/150</f>
        <v>28.8</v>
      </c>
      <c r="J128" s="27">
        <f>F128*181.5/150</f>
        <v>181.5</v>
      </c>
      <c r="K128" s="66" t="s">
        <v>87</v>
      </c>
      <c r="L128" s="49">
        <v>9.91</v>
      </c>
    </row>
    <row r="129" spans="1:12" ht="15.75">
      <c r="A129" s="45"/>
      <c r="B129" s="19"/>
      <c r="C129" s="20"/>
      <c r="D129" s="24" t="s">
        <v>130</v>
      </c>
      <c r="E129" s="46" t="s">
        <v>88</v>
      </c>
      <c r="F129" s="27">
        <v>200</v>
      </c>
      <c r="G129" s="27">
        <v>0.4</v>
      </c>
      <c r="H129" s="27">
        <v>0.4</v>
      </c>
      <c r="I129" s="27">
        <v>18.7</v>
      </c>
      <c r="J129" s="27">
        <v>80</v>
      </c>
      <c r="K129" s="66">
        <v>44265</v>
      </c>
      <c r="L129" s="49">
        <v>13.07</v>
      </c>
    </row>
    <row r="130" spans="1:12" ht="15.75">
      <c r="A130" s="45"/>
      <c r="B130" s="19"/>
      <c r="C130" s="20"/>
      <c r="D130" s="99" t="s">
        <v>42</v>
      </c>
      <c r="E130" s="28" t="s">
        <v>43</v>
      </c>
      <c r="F130" s="48">
        <v>30</v>
      </c>
      <c r="G130" s="48">
        <f>SUM(F130*2.37/30)</f>
        <v>2.37</v>
      </c>
      <c r="H130" s="48">
        <f>SUM(F130*0.3/30)</f>
        <v>0.3</v>
      </c>
      <c r="I130" s="48">
        <f>SUM(F130*14.49/30)</f>
        <v>14.49</v>
      </c>
      <c r="J130" s="48">
        <f>SUM(F130*70.14/30)</f>
        <v>70.14</v>
      </c>
      <c r="K130" s="95" t="s">
        <v>47</v>
      </c>
      <c r="L130" s="49">
        <v>1.51</v>
      </c>
    </row>
    <row r="131" spans="1:12" ht="15.75">
      <c r="A131" s="45"/>
      <c r="B131" s="19"/>
      <c r="C131" s="20"/>
      <c r="D131" s="24" t="s">
        <v>44</v>
      </c>
      <c r="E131" s="40" t="s">
        <v>29</v>
      </c>
      <c r="F131" s="27">
        <v>30</v>
      </c>
      <c r="G131" s="27">
        <f>SUM(F131*1.68/30)</f>
        <v>1.68</v>
      </c>
      <c r="H131" s="27">
        <f>SUM(F131*0.33/30)</f>
        <v>0.33</v>
      </c>
      <c r="I131" s="27">
        <f>SUM(F131*14.82/30)</f>
        <v>14.82</v>
      </c>
      <c r="J131" s="27">
        <f>SUM(F131*68.97/30)</f>
        <v>68.97</v>
      </c>
      <c r="K131" s="66" t="s">
        <v>47</v>
      </c>
      <c r="L131" s="49">
        <v>2.19</v>
      </c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45"/>
      <c r="B133" s="19"/>
      <c r="C133" s="20"/>
      <c r="D133" s="21"/>
      <c r="E133" s="22"/>
      <c r="F133" s="49"/>
      <c r="G133" s="49"/>
      <c r="H133" s="49"/>
      <c r="I133" s="49"/>
      <c r="J133" s="49"/>
      <c r="K133" s="62"/>
      <c r="L133" s="49"/>
    </row>
    <row r="134" spans="1:12" ht="15.75">
      <c r="A134" s="50"/>
      <c r="B134" s="30"/>
      <c r="C134" s="31"/>
      <c r="D134" s="32" t="s">
        <v>34</v>
      </c>
      <c r="E134" s="33"/>
      <c r="F134" s="35">
        <f>SUM(F125:F133)</f>
        <v>760</v>
      </c>
      <c r="G134" s="35">
        <f t="shared" ref="G134:J134" si="57">SUM(G125:G133)</f>
        <v>28.549999999999997</v>
      </c>
      <c r="H134" s="35">
        <f t="shared" si="57"/>
        <v>28.560000000000002</v>
      </c>
      <c r="I134" s="35">
        <f t="shared" si="57"/>
        <v>102.72999999999999</v>
      </c>
      <c r="J134" s="35">
        <f t="shared" si="57"/>
        <v>782.91</v>
      </c>
      <c r="K134" s="79"/>
      <c r="L134" s="35">
        <f t="shared" ref="L134" si="58">SUM(L125:L133)</f>
        <v>110.99999999999999</v>
      </c>
    </row>
    <row r="135" spans="1:12" ht="15.75">
      <c r="A135" s="51">
        <f>A118</f>
        <v>2</v>
      </c>
      <c r="B135" s="51">
        <f>B118</f>
        <v>2</v>
      </c>
      <c r="C135" s="127" t="s">
        <v>45</v>
      </c>
      <c r="D135" s="128"/>
      <c r="E135" s="43"/>
      <c r="F135" s="52">
        <f>F124+F134</f>
        <v>1260</v>
      </c>
      <c r="G135" s="52">
        <f t="shared" ref="G135" si="59">G124+G134</f>
        <v>69.95</v>
      </c>
      <c r="H135" s="52">
        <f t="shared" ref="H135" si="60">H124+H134</f>
        <v>57.81</v>
      </c>
      <c r="I135" s="52">
        <f t="shared" ref="I135" si="61">I124+I134</f>
        <v>198.23</v>
      </c>
      <c r="J135" s="52">
        <f t="shared" ref="J135:L135" si="62">J124+J134</f>
        <v>1591.8600000000001</v>
      </c>
      <c r="K135" s="44"/>
      <c r="L135" s="52">
        <f t="shared" si="62"/>
        <v>203</v>
      </c>
    </row>
    <row r="136" spans="1:12" ht="15.75">
      <c r="A136" s="13">
        <v>2</v>
      </c>
      <c r="B136" s="14">
        <v>3</v>
      </c>
      <c r="C136" s="15" t="s">
        <v>23</v>
      </c>
      <c r="D136" s="16" t="s">
        <v>38</v>
      </c>
      <c r="E136" s="46" t="s">
        <v>135</v>
      </c>
      <c r="F136" s="27">
        <v>90</v>
      </c>
      <c r="G136" s="27">
        <f>F136*11.6/90</f>
        <v>11.6</v>
      </c>
      <c r="H136" s="27">
        <f>F136*12.1/90</f>
        <v>12.1</v>
      </c>
      <c r="I136" s="27">
        <f>F136*13.1/90</f>
        <v>13.1</v>
      </c>
      <c r="J136" s="27">
        <f>F136*207.7/90</f>
        <v>207.7</v>
      </c>
      <c r="K136" s="60">
        <v>44533</v>
      </c>
      <c r="L136" s="61">
        <v>60.78</v>
      </c>
    </row>
    <row r="137" spans="1:12" ht="15.75">
      <c r="A137" s="18"/>
      <c r="B137" s="19"/>
      <c r="C137" s="20"/>
      <c r="D137" s="21" t="s">
        <v>39</v>
      </c>
      <c r="E137" s="54" t="s">
        <v>89</v>
      </c>
      <c r="F137" s="48">
        <v>150</v>
      </c>
      <c r="G137" s="48">
        <f>F137*3.25/150</f>
        <v>3.25</v>
      </c>
      <c r="H137" s="48">
        <f>F137*2.85/150</f>
        <v>2.85</v>
      </c>
      <c r="I137" s="48">
        <f>F137*11.9/150</f>
        <v>11.9</v>
      </c>
      <c r="J137" s="48">
        <f>F137*87/150</f>
        <v>87</v>
      </c>
      <c r="K137" s="62">
        <v>36.799999999999997</v>
      </c>
      <c r="L137" s="49">
        <v>19.91</v>
      </c>
    </row>
    <row r="138" spans="1:12" ht="15.75">
      <c r="A138" s="18"/>
      <c r="B138" s="19"/>
      <c r="C138" s="20"/>
      <c r="D138" s="24" t="s">
        <v>26</v>
      </c>
      <c r="E138" s="46" t="s">
        <v>76</v>
      </c>
      <c r="F138" s="48">
        <v>200</v>
      </c>
      <c r="G138" s="48">
        <v>0.2</v>
      </c>
      <c r="H138" s="48">
        <v>0.1</v>
      </c>
      <c r="I138" s="48">
        <v>13.1</v>
      </c>
      <c r="J138" s="48">
        <v>54.1</v>
      </c>
      <c r="K138" s="71" t="s">
        <v>77</v>
      </c>
      <c r="L138" s="49">
        <v>7.7</v>
      </c>
    </row>
    <row r="139" spans="1:12" ht="15.75" customHeight="1">
      <c r="A139" s="18"/>
      <c r="B139" s="19"/>
      <c r="C139" s="20"/>
      <c r="D139" s="99" t="s">
        <v>42</v>
      </c>
      <c r="E139" s="28" t="s">
        <v>43</v>
      </c>
      <c r="F139" s="48">
        <v>50</v>
      </c>
      <c r="G139" s="48">
        <f>SUM(F139*2.37/30)</f>
        <v>3.95</v>
      </c>
      <c r="H139" s="48">
        <f>SUM(F139*0.3/30)</f>
        <v>0.5</v>
      </c>
      <c r="I139" s="48">
        <f>SUM(F139*14.49/30)</f>
        <v>24.15</v>
      </c>
      <c r="J139" s="48">
        <f>SUM(F139*70.14/30)</f>
        <v>116.9</v>
      </c>
      <c r="K139" s="95" t="s">
        <v>47</v>
      </c>
      <c r="L139" s="49">
        <v>2</v>
      </c>
    </row>
    <row r="140" spans="1:12" ht="15.75">
      <c r="A140" s="18"/>
      <c r="B140" s="19"/>
      <c r="C140" s="20"/>
      <c r="D140" s="24" t="s">
        <v>44</v>
      </c>
      <c r="E140" s="40" t="s">
        <v>29</v>
      </c>
      <c r="F140" s="48">
        <v>30</v>
      </c>
      <c r="G140" s="48">
        <f>SUM(F140*1.68/30)</f>
        <v>1.68</v>
      </c>
      <c r="H140" s="48">
        <f>SUM(F140*0.33/30)</f>
        <v>0.33</v>
      </c>
      <c r="I140" s="48">
        <f>SUM(F140*14.82/30)</f>
        <v>14.82</v>
      </c>
      <c r="J140" s="48">
        <f>SUM(F140*68.97/30)</f>
        <v>68.97</v>
      </c>
      <c r="K140" s="69" t="s">
        <v>47</v>
      </c>
      <c r="L140" s="49">
        <v>1.61</v>
      </c>
    </row>
    <row r="141" spans="1:12" ht="15.75">
      <c r="A141" s="18"/>
      <c r="B141" s="19"/>
      <c r="C141" s="20"/>
      <c r="D141" s="21"/>
      <c r="E141" s="47"/>
      <c r="F141" s="48"/>
      <c r="G141" s="48"/>
      <c r="H141" s="48"/>
      <c r="I141" s="48"/>
      <c r="J141" s="48"/>
      <c r="K141" s="62"/>
      <c r="L141" s="49"/>
    </row>
    <row r="142" spans="1:12" ht="15.75">
      <c r="A142" s="18"/>
      <c r="B142" s="19"/>
      <c r="C142" s="20"/>
      <c r="D142" s="21"/>
      <c r="E142" s="22"/>
      <c r="F142" s="49"/>
      <c r="G142" s="49"/>
      <c r="H142" s="49"/>
      <c r="I142" s="49"/>
      <c r="J142" s="49"/>
      <c r="K142" s="62"/>
      <c r="L142" s="49"/>
    </row>
    <row r="143" spans="1:12" ht="15.75">
      <c r="A143" s="29"/>
      <c r="B143" s="30"/>
      <c r="C143" s="31"/>
      <c r="D143" s="32" t="s">
        <v>34</v>
      </c>
      <c r="E143" s="33"/>
      <c r="F143" s="35">
        <f>SUM(F136:F142)</f>
        <v>520</v>
      </c>
      <c r="G143" s="35">
        <f t="shared" ref="G143:J143" si="63">SUM(G136:G142)</f>
        <v>20.68</v>
      </c>
      <c r="H143" s="35">
        <f t="shared" si="63"/>
        <v>15.879999999999999</v>
      </c>
      <c r="I143" s="35">
        <f t="shared" si="63"/>
        <v>77.069999999999993</v>
      </c>
      <c r="J143" s="35">
        <f t="shared" si="63"/>
        <v>534.67000000000007</v>
      </c>
      <c r="K143" s="79"/>
      <c r="L143" s="35">
        <f>SUM(L136:L142)</f>
        <v>92</v>
      </c>
    </row>
    <row r="144" spans="1:12" ht="31.5">
      <c r="A144" s="36">
        <f>A136</f>
        <v>2</v>
      </c>
      <c r="B144" s="37">
        <f>B136</f>
        <v>3</v>
      </c>
      <c r="C144" s="38" t="s">
        <v>35</v>
      </c>
      <c r="D144" s="24" t="s">
        <v>36</v>
      </c>
      <c r="E144" s="28" t="s">
        <v>104</v>
      </c>
      <c r="F144" s="27">
        <v>60</v>
      </c>
      <c r="G144" s="27">
        <f>F144*0.6/60</f>
        <v>0.6</v>
      </c>
      <c r="H144" s="27">
        <f>F144*6/60</f>
        <v>6</v>
      </c>
      <c r="I144" s="27">
        <f>F144*4.76/60</f>
        <v>4.76</v>
      </c>
      <c r="J144" s="27">
        <f>F144*75.44/60</f>
        <v>75.44</v>
      </c>
      <c r="K144" s="65" t="s">
        <v>105</v>
      </c>
      <c r="L144" s="49">
        <v>14.31</v>
      </c>
    </row>
    <row r="145" spans="1:12" ht="15.75">
      <c r="A145" s="18"/>
      <c r="B145" s="19"/>
      <c r="C145" s="20"/>
      <c r="D145" s="24" t="s">
        <v>37</v>
      </c>
      <c r="E145" s="96" t="s">
        <v>127</v>
      </c>
      <c r="F145" s="27">
        <v>200</v>
      </c>
      <c r="G145" s="27">
        <f>F145*1.9/250+0.3+1.6</f>
        <v>3.42</v>
      </c>
      <c r="H145" s="27">
        <f>F145*4.1/250+1.7</f>
        <v>4.9799999999999995</v>
      </c>
      <c r="I145" s="27">
        <f>F145*8/250+0.6</f>
        <v>7</v>
      </c>
      <c r="J145" s="27">
        <f>F145*77/250+3+22.6</f>
        <v>87.199999999999989</v>
      </c>
      <c r="K145" s="66">
        <v>44379</v>
      </c>
      <c r="L145" s="49">
        <v>10.26</v>
      </c>
    </row>
    <row r="146" spans="1:12" ht="27" customHeight="1">
      <c r="A146" s="18"/>
      <c r="B146" s="19"/>
      <c r="C146" s="20"/>
      <c r="D146" s="24" t="s">
        <v>38</v>
      </c>
      <c r="E146" s="53" t="s">
        <v>53</v>
      </c>
      <c r="F146" s="27">
        <v>90</v>
      </c>
      <c r="G146" s="27">
        <f>F146*17.19/90</f>
        <v>17.190000000000001</v>
      </c>
      <c r="H146" s="27">
        <f>F146*14.31/90</f>
        <v>14.31</v>
      </c>
      <c r="I146" s="27">
        <f>F146*0.18/90</f>
        <v>0.18</v>
      </c>
      <c r="J146" s="27">
        <f>F146*198/90</f>
        <v>198</v>
      </c>
      <c r="K146" s="68">
        <v>4232</v>
      </c>
      <c r="L146" s="49">
        <v>54.62</v>
      </c>
    </row>
    <row r="147" spans="1:12" ht="15.75">
      <c r="A147" s="18"/>
      <c r="B147" s="19"/>
      <c r="C147" s="20"/>
      <c r="D147" s="24" t="s">
        <v>39</v>
      </c>
      <c r="E147" s="40" t="s">
        <v>40</v>
      </c>
      <c r="F147" s="17">
        <v>150</v>
      </c>
      <c r="G147" s="27">
        <f>F147*5.3/150</f>
        <v>5.3</v>
      </c>
      <c r="H147" s="27">
        <f>F147*3/150</f>
        <v>3</v>
      </c>
      <c r="I147" s="27">
        <f>F147*32.4/150</f>
        <v>32.4</v>
      </c>
      <c r="J147" s="27">
        <f>F147*178/150</f>
        <v>178</v>
      </c>
      <c r="K147" s="93" t="s">
        <v>95</v>
      </c>
      <c r="L147" s="49">
        <v>9.99</v>
      </c>
    </row>
    <row r="148" spans="1:12" ht="15.75">
      <c r="A148" s="18"/>
      <c r="B148" s="19"/>
      <c r="C148" s="20"/>
      <c r="D148" s="24" t="s">
        <v>130</v>
      </c>
      <c r="E148" s="26" t="s">
        <v>90</v>
      </c>
      <c r="F148" s="27">
        <v>200</v>
      </c>
      <c r="G148" s="27">
        <v>0.2</v>
      </c>
      <c r="H148" s="27">
        <v>0</v>
      </c>
      <c r="I148" s="27">
        <v>11.9</v>
      </c>
      <c r="J148" s="27">
        <v>48</v>
      </c>
      <c r="K148" s="62">
        <v>44387</v>
      </c>
      <c r="L148" s="49">
        <v>16.260000000000002</v>
      </c>
    </row>
    <row r="149" spans="1:12" ht="15.75">
      <c r="A149" s="18"/>
      <c r="B149" s="19"/>
      <c r="C149" s="20"/>
      <c r="D149" s="24" t="s">
        <v>42</v>
      </c>
      <c r="E149" s="28" t="s">
        <v>43</v>
      </c>
      <c r="F149" s="27">
        <v>50</v>
      </c>
      <c r="G149" s="27">
        <f>SUM(F149*2.37/30)</f>
        <v>3.95</v>
      </c>
      <c r="H149" s="27">
        <f>SUM(F149*0.3/30)</f>
        <v>0.5</v>
      </c>
      <c r="I149" s="27">
        <f>SUM(F149*14.49/30)</f>
        <v>24.15</v>
      </c>
      <c r="J149" s="27">
        <f>SUM(F149*70.14/30)</f>
        <v>116.9</v>
      </c>
      <c r="K149" s="69" t="s">
        <v>30</v>
      </c>
      <c r="L149" s="49">
        <v>3.14</v>
      </c>
    </row>
    <row r="150" spans="1:12" ht="15.75">
      <c r="A150" s="18"/>
      <c r="B150" s="19"/>
      <c r="C150" s="20"/>
      <c r="D150" s="24" t="s">
        <v>44</v>
      </c>
      <c r="E150" s="40" t="s">
        <v>29</v>
      </c>
      <c r="F150" s="27">
        <v>50</v>
      </c>
      <c r="G150" s="27">
        <f>SUM(F150*1.68/30)</f>
        <v>2.8</v>
      </c>
      <c r="H150" s="27">
        <f>SUM(F150*0.33/30)</f>
        <v>0.55000000000000004</v>
      </c>
      <c r="I150" s="27">
        <f>SUM(F150*14.82/30)</f>
        <v>24.7</v>
      </c>
      <c r="J150" s="27">
        <f>SUM(F150*68.97/30)</f>
        <v>114.95</v>
      </c>
      <c r="K150" s="69" t="s">
        <v>47</v>
      </c>
      <c r="L150" s="49">
        <v>2.42</v>
      </c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18"/>
      <c r="B152" s="19"/>
      <c r="C152" s="20"/>
      <c r="D152" s="21"/>
      <c r="E152" s="22"/>
      <c r="F152" s="49"/>
      <c r="G152" s="49"/>
      <c r="H152" s="49"/>
      <c r="I152" s="49"/>
      <c r="J152" s="49"/>
      <c r="K152" s="62"/>
      <c r="L152" s="49"/>
    </row>
    <row r="153" spans="1:12" ht="15.75">
      <c r="A153" s="29"/>
      <c r="B153" s="30"/>
      <c r="C153" s="31"/>
      <c r="D153" s="32" t="s">
        <v>34</v>
      </c>
      <c r="E153" s="33"/>
      <c r="F153" s="35">
        <f>SUM(F144:F152)</f>
        <v>800</v>
      </c>
      <c r="G153" s="35">
        <f t="shared" ref="G153:J153" si="64">SUM(G144:G152)</f>
        <v>33.46</v>
      </c>
      <c r="H153" s="35">
        <f t="shared" si="64"/>
        <v>29.34</v>
      </c>
      <c r="I153" s="35">
        <f t="shared" si="64"/>
        <v>105.08999999999999</v>
      </c>
      <c r="J153" s="35">
        <f t="shared" si="64"/>
        <v>818.49</v>
      </c>
      <c r="K153" s="64"/>
      <c r="L153" s="35">
        <f t="shared" ref="L153" si="65">SUM(L144:L152)</f>
        <v>111</v>
      </c>
    </row>
    <row r="154" spans="1:12" ht="16.5" thickBot="1">
      <c r="A154" s="41">
        <f>A136</f>
        <v>2</v>
      </c>
      <c r="B154" s="42">
        <f>B136</f>
        <v>3</v>
      </c>
      <c r="C154" s="127" t="s">
        <v>45</v>
      </c>
      <c r="D154" s="128"/>
      <c r="E154" s="43"/>
      <c r="F154" s="52">
        <f>F143+F153</f>
        <v>1320</v>
      </c>
      <c r="G154" s="52">
        <f t="shared" ref="G154" si="66">G143+G153</f>
        <v>54.14</v>
      </c>
      <c r="H154" s="52">
        <f t="shared" ref="H154" si="67">H143+H153</f>
        <v>45.22</v>
      </c>
      <c r="I154" s="52">
        <f t="shared" ref="I154" si="68">I143+I153</f>
        <v>182.15999999999997</v>
      </c>
      <c r="J154" s="52">
        <f t="shared" ref="J154" si="69">J143+J153</f>
        <v>1353.16</v>
      </c>
      <c r="K154" s="44"/>
      <c r="L154" s="52">
        <f>L143+L153</f>
        <v>203</v>
      </c>
    </row>
    <row r="155" spans="1:12" ht="15.75">
      <c r="A155" s="18">
        <v>2</v>
      </c>
      <c r="B155" s="19">
        <v>4</v>
      </c>
      <c r="C155" s="15" t="s">
        <v>23</v>
      </c>
      <c r="D155" s="21" t="s">
        <v>38</v>
      </c>
      <c r="E155" s="55" t="s">
        <v>91</v>
      </c>
      <c r="F155" s="56">
        <v>90</v>
      </c>
      <c r="G155" s="48">
        <f>F155*9.7/100</f>
        <v>8.7299999999999986</v>
      </c>
      <c r="H155" s="48">
        <f>F155*10.6/100</f>
        <v>9.5399999999999991</v>
      </c>
      <c r="I155" s="48">
        <f>F155*1.7/100</f>
        <v>1.53</v>
      </c>
      <c r="J155" s="48">
        <f>F155*141/100</f>
        <v>126.9</v>
      </c>
      <c r="K155" s="80">
        <v>44417</v>
      </c>
      <c r="L155" s="49">
        <v>61.42</v>
      </c>
    </row>
    <row r="156" spans="1:12" ht="15.75">
      <c r="A156" s="18"/>
      <c r="B156" s="19"/>
      <c r="C156" s="20"/>
      <c r="D156" s="24" t="s">
        <v>39</v>
      </c>
      <c r="E156" s="98" t="s">
        <v>128</v>
      </c>
      <c r="F156" s="27">
        <v>150</v>
      </c>
      <c r="G156" s="27">
        <f>F156*8.63/150</f>
        <v>8.6300000000000008</v>
      </c>
      <c r="H156" s="27">
        <f>F156*6.83/150</f>
        <v>6.83</v>
      </c>
      <c r="I156" s="27">
        <f>F156*37.8/150</f>
        <v>37.799999999999997</v>
      </c>
      <c r="J156" s="27">
        <f>F156*266.25/150</f>
        <v>266.25</v>
      </c>
      <c r="K156" s="93" t="s">
        <v>129</v>
      </c>
      <c r="L156" s="49">
        <v>13.09</v>
      </c>
    </row>
    <row r="157" spans="1:12" ht="15.75">
      <c r="A157" s="18"/>
      <c r="B157" s="19"/>
      <c r="C157" s="20"/>
      <c r="D157" s="24" t="s">
        <v>26</v>
      </c>
      <c r="E157" s="26" t="s">
        <v>73</v>
      </c>
      <c r="F157" s="48">
        <v>200</v>
      </c>
      <c r="G157" s="48">
        <v>3.6</v>
      </c>
      <c r="H157" s="48">
        <v>3.3</v>
      </c>
      <c r="I157" s="48">
        <v>22.8</v>
      </c>
      <c r="J157" s="48">
        <v>135</v>
      </c>
      <c r="K157" s="75" t="s">
        <v>74</v>
      </c>
      <c r="L157" s="49">
        <v>14.24</v>
      </c>
    </row>
    <row r="158" spans="1:12" ht="15.75">
      <c r="A158" s="18"/>
      <c r="B158" s="19"/>
      <c r="C158" s="20"/>
      <c r="D158" s="24" t="s">
        <v>42</v>
      </c>
      <c r="E158" s="28" t="s">
        <v>43</v>
      </c>
      <c r="F158" s="27">
        <v>30</v>
      </c>
      <c r="G158" s="27">
        <f>SUM(F158*2.37/30)</f>
        <v>2.37</v>
      </c>
      <c r="H158" s="27">
        <f>SUM(F158*0.3/30)</f>
        <v>0.3</v>
      </c>
      <c r="I158" s="27">
        <f>SUM(F158*14.49/30)</f>
        <v>14.49</v>
      </c>
      <c r="J158" s="27">
        <f>SUM(F158*70.14/30)</f>
        <v>70.14</v>
      </c>
      <c r="K158" s="62" t="s">
        <v>30</v>
      </c>
      <c r="L158" s="49">
        <v>1.77</v>
      </c>
    </row>
    <row r="159" spans="1:12" ht="15.75">
      <c r="A159" s="18"/>
      <c r="B159" s="19"/>
      <c r="C159" s="20"/>
      <c r="D159" s="24" t="s">
        <v>44</v>
      </c>
      <c r="E159" s="40" t="s">
        <v>29</v>
      </c>
      <c r="F159" s="27">
        <v>30</v>
      </c>
      <c r="G159" s="27">
        <f>SUM(F159*1.68/30)</f>
        <v>1.68</v>
      </c>
      <c r="H159" s="27">
        <f>SUM(F159*0.33/30)</f>
        <v>0.33</v>
      </c>
      <c r="I159" s="27">
        <f>SUM(F159*14.82/30)</f>
        <v>14.82</v>
      </c>
      <c r="J159" s="27">
        <f>SUM(F159*68.97/30)</f>
        <v>68.97</v>
      </c>
      <c r="K159" s="62" t="s">
        <v>47</v>
      </c>
      <c r="L159" s="49">
        <v>1.48</v>
      </c>
    </row>
    <row r="160" spans="1:12" ht="15.75">
      <c r="A160" s="18"/>
      <c r="B160" s="19"/>
      <c r="C160" s="20"/>
      <c r="D160" s="24"/>
      <c r="E160" s="40"/>
      <c r="F160" s="27"/>
      <c r="G160" s="27"/>
      <c r="H160" s="27"/>
      <c r="I160" s="27"/>
      <c r="J160" s="27"/>
      <c r="K160" s="62"/>
      <c r="L160" s="49"/>
    </row>
    <row r="161" spans="1:12" ht="15.75">
      <c r="A161" s="29"/>
      <c r="B161" s="30"/>
      <c r="C161" s="31"/>
      <c r="D161" s="32" t="s">
        <v>34</v>
      </c>
      <c r="E161" s="33"/>
      <c r="F161" s="35">
        <f>SUM(F155:F160)</f>
        <v>500</v>
      </c>
      <c r="G161" s="35">
        <f>SUM(G155:G160)</f>
        <v>25.01</v>
      </c>
      <c r="H161" s="35">
        <f>SUM(H155:H160)</f>
        <v>20.299999999999997</v>
      </c>
      <c r="I161" s="35">
        <f>SUM(I155:I160)</f>
        <v>91.44</v>
      </c>
      <c r="J161" s="35">
        <f>SUM(J155:J160)</f>
        <v>667.26</v>
      </c>
      <c r="K161" s="64"/>
      <c r="L161" s="35">
        <f>SUM(L155:L160)</f>
        <v>92</v>
      </c>
    </row>
    <row r="162" spans="1:12" ht="15.75">
      <c r="A162" s="36">
        <v>2</v>
      </c>
      <c r="B162" s="37">
        <v>4</v>
      </c>
      <c r="C162" s="38" t="s">
        <v>35</v>
      </c>
      <c r="D162" s="24" t="s">
        <v>36</v>
      </c>
      <c r="E162" s="54" t="s">
        <v>92</v>
      </c>
      <c r="F162" s="48">
        <v>80</v>
      </c>
      <c r="G162" s="27">
        <f>F162*1.3/100</f>
        <v>1.04</v>
      </c>
      <c r="H162" s="27">
        <f>F162*8.9/100</f>
        <v>7.12</v>
      </c>
      <c r="I162" s="27">
        <f>F162*6.7/100</f>
        <v>5.36</v>
      </c>
      <c r="J162" s="27">
        <f>F162*112/100</f>
        <v>89.6</v>
      </c>
      <c r="K162" s="62">
        <v>72</v>
      </c>
      <c r="L162" s="49">
        <v>13.38</v>
      </c>
    </row>
    <row r="163" spans="1:12" ht="15.75">
      <c r="A163" s="18"/>
      <c r="B163" s="19"/>
      <c r="C163" s="20"/>
      <c r="D163" s="24" t="s">
        <v>37</v>
      </c>
      <c r="E163" s="100" t="s">
        <v>120</v>
      </c>
      <c r="F163" s="27">
        <v>200</v>
      </c>
      <c r="G163" s="48">
        <f>F163*2.5/250+0.2+1.7</f>
        <v>3.9000000000000004</v>
      </c>
      <c r="H163" s="48">
        <f>F163*5.4/250+1.7</f>
        <v>6.0200000000000005</v>
      </c>
      <c r="I163" s="48">
        <f>F163*16.6/250+1</f>
        <v>14.280000000000001</v>
      </c>
      <c r="J163" s="48">
        <f>F163*125/250+3+22.6</f>
        <v>125.6</v>
      </c>
      <c r="K163" s="62">
        <v>44502</v>
      </c>
      <c r="L163" s="49">
        <v>14.16</v>
      </c>
    </row>
    <row r="164" spans="1:12" ht="15.75">
      <c r="A164" s="18"/>
      <c r="B164" s="19"/>
      <c r="C164" s="20"/>
      <c r="D164" s="24" t="s">
        <v>38</v>
      </c>
      <c r="E164" s="53" t="s">
        <v>93</v>
      </c>
      <c r="F164" s="27">
        <v>90</v>
      </c>
      <c r="G164" s="48">
        <f>F164*13.1/130</f>
        <v>9.069230769230769</v>
      </c>
      <c r="H164" s="48">
        <f>F164*9.2/130</f>
        <v>6.3692307692307679</v>
      </c>
      <c r="I164" s="48">
        <f>F164*11.8/130</f>
        <v>8.1692307692307686</v>
      </c>
      <c r="J164" s="48">
        <f>F164*183/130</f>
        <v>126.69230769230769</v>
      </c>
      <c r="K164" s="62">
        <v>18.7</v>
      </c>
      <c r="L164" s="49">
        <v>50.62</v>
      </c>
    </row>
    <row r="165" spans="1:12" ht="15.75">
      <c r="A165" s="18"/>
      <c r="B165" s="19"/>
      <c r="C165" s="20"/>
      <c r="D165" s="24" t="s">
        <v>39</v>
      </c>
      <c r="E165" s="54" t="s">
        <v>72</v>
      </c>
      <c r="F165" s="27">
        <v>150</v>
      </c>
      <c r="G165" s="27">
        <f>F165*3.17/150</f>
        <v>3.17</v>
      </c>
      <c r="H165" s="27">
        <f>F165*3.67/150</f>
        <v>3.67</v>
      </c>
      <c r="I165" s="27">
        <f>F165*20.4/150</f>
        <v>20.399999999999999</v>
      </c>
      <c r="J165" s="48">
        <f>F165*127.5/150</f>
        <v>127.5</v>
      </c>
      <c r="K165" s="62">
        <v>44258</v>
      </c>
      <c r="L165" s="49">
        <v>22.35</v>
      </c>
    </row>
    <row r="166" spans="1:12" ht="15.75">
      <c r="A166" s="18"/>
      <c r="B166" s="19"/>
      <c r="C166" s="20"/>
      <c r="D166" s="24" t="s">
        <v>130</v>
      </c>
      <c r="E166" s="54" t="s">
        <v>59</v>
      </c>
      <c r="F166" s="27">
        <v>200</v>
      </c>
      <c r="G166" s="27">
        <v>0</v>
      </c>
      <c r="H166" s="27">
        <v>0</v>
      </c>
      <c r="I166" s="27">
        <v>27.8</v>
      </c>
      <c r="J166" s="27">
        <v>111</v>
      </c>
      <c r="K166" s="62">
        <v>948</v>
      </c>
      <c r="L166" s="49">
        <v>5.2</v>
      </c>
    </row>
    <row r="167" spans="1:12" ht="15.75">
      <c r="A167" s="18"/>
      <c r="B167" s="19"/>
      <c r="C167" s="20"/>
      <c r="D167" s="24" t="s">
        <v>42</v>
      </c>
      <c r="E167" s="28" t="s">
        <v>43</v>
      </c>
      <c r="F167" s="27">
        <v>50</v>
      </c>
      <c r="G167" s="27">
        <f>SUM(F167*2.37/30)</f>
        <v>3.95</v>
      </c>
      <c r="H167" s="27">
        <f>SUM(F167*0.3/30)</f>
        <v>0.5</v>
      </c>
      <c r="I167" s="27">
        <f>SUM(F167*14.49/30)</f>
        <v>24.15</v>
      </c>
      <c r="J167" s="27">
        <f>SUM(F167*70.14/30)</f>
        <v>116.9</v>
      </c>
      <c r="K167" s="69" t="s">
        <v>30</v>
      </c>
      <c r="L167" s="49">
        <v>3.14</v>
      </c>
    </row>
    <row r="168" spans="1:12" ht="15.75">
      <c r="A168" s="18"/>
      <c r="B168" s="19"/>
      <c r="C168" s="20"/>
      <c r="D168" s="24" t="s">
        <v>44</v>
      </c>
      <c r="E168" s="40" t="s">
        <v>29</v>
      </c>
      <c r="F168" s="27">
        <v>40</v>
      </c>
      <c r="G168" s="27">
        <f>SUM(F168*1.68/30)</f>
        <v>2.2400000000000002</v>
      </c>
      <c r="H168" s="27">
        <f>SUM(F168*0.33/30)</f>
        <v>0.44000000000000006</v>
      </c>
      <c r="I168" s="27">
        <f>SUM(F168*14.82/30)</f>
        <v>19.759999999999998</v>
      </c>
      <c r="J168" s="27">
        <f>SUM(F168*68.97/30)</f>
        <v>91.960000000000008</v>
      </c>
      <c r="K168" s="69" t="s">
        <v>47</v>
      </c>
      <c r="L168" s="49">
        <v>2.15</v>
      </c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18"/>
      <c r="B170" s="19"/>
      <c r="C170" s="20"/>
      <c r="D170" s="21"/>
      <c r="E170" s="22"/>
      <c r="F170" s="49"/>
      <c r="G170" s="49"/>
      <c r="H170" s="49"/>
      <c r="I170" s="49"/>
      <c r="J170" s="49"/>
      <c r="K170" s="62"/>
      <c r="L170" s="49"/>
    </row>
    <row r="171" spans="1:12" ht="15.75">
      <c r="A171" s="29"/>
      <c r="B171" s="30"/>
      <c r="C171" s="31"/>
      <c r="D171" s="32" t="s">
        <v>34</v>
      </c>
      <c r="E171" s="33"/>
      <c r="F171" s="35">
        <f>SUM(F162:F170)</f>
        <v>810</v>
      </c>
      <c r="G171" s="35">
        <f t="shared" ref="G171:J171" si="70">SUM(G162:G170)</f>
        <v>23.369230769230768</v>
      </c>
      <c r="H171" s="35">
        <f t="shared" si="70"/>
        <v>24.119230769230771</v>
      </c>
      <c r="I171" s="35">
        <f t="shared" si="70"/>
        <v>119.91923076923075</v>
      </c>
      <c r="J171" s="35">
        <f t="shared" si="70"/>
        <v>789.25230769230768</v>
      </c>
      <c r="K171" s="79"/>
      <c r="L171" s="35">
        <f t="shared" ref="L171" si="71">SUM(L162:L170)</f>
        <v>111</v>
      </c>
    </row>
    <row r="172" spans="1:12" ht="16.5" thickBot="1">
      <c r="A172" s="41">
        <v>2</v>
      </c>
      <c r="B172" s="42">
        <v>4</v>
      </c>
      <c r="C172" s="127" t="s">
        <v>45</v>
      </c>
      <c r="D172" s="128"/>
      <c r="E172" s="43"/>
      <c r="F172" s="52">
        <f>F161+F171</f>
        <v>1310</v>
      </c>
      <c r="G172" s="52">
        <f t="shared" ref="G172" si="72">G161+G171</f>
        <v>48.379230769230773</v>
      </c>
      <c r="H172" s="52">
        <f t="shared" ref="H172" si="73">H161+H171</f>
        <v>44.419230769230765</v>
      </c>
      <c r="I172" s="52">
        <f t="shared" ref="I172" si="74">I161+I171</f>
        <v>211.35923076923075</v>
      </c>
      <c r="J172" s="52">
        <f t="shared" ref="J172:L172" si="75">J161+J171</f>
        <v>1456.5123076923078</v>
      </c>
      <c r="K172" s="52"/>
      <c r="L172" s="52">
        <f t="shared" si="75"/>
        <v>203</v>
      </c>
    </row>
    <row r="173" spans="1:12" ht="15.75">
      <c r="A173" s="18">
        <v>2</v>
      </c>
      <c r="B173" s="19">
        <v>5</v>
      </c>
      <c r="C173" s="15" t="s">
        <v>23</v>
      </c>
      <c r="D173" s="16" t="s">
        <v>38</v>
      </c>
      <c r="E173" s="53" t="s">
        <v>94</v>
      </c>
      <c r="F173" s="27">
        <v>100</v>
      </c>
      <c r="G173" s="27">
        <f>F173*13.92/120</f>
        <v>11.6</v>
      </c>
      <c r="H173" s="27">
        <f>F173*14.52/120</f>
        <v>12.1</v>
      </c>
      <c r="I173" s="27">
        <f>F173*13.44/120</f>
        <v>11.2</v>
      </c>
      <c r="J173" s="27">
        <f>F173*240/120</f>
        <v>200</v>
      </c>
      <c r="K173" s="66">
        <v>44236</v>
      </c>
      <c r="L173" s="75">
        <v>64.27</v>
      </c>
    </row>
    <row r="174" spans="1:12" ht="15.75">
      <c r="A174" s="18"/>
      <c r="B174" s="19"/>
      <c r="C174" s="20"/>
      <c r="D174" s="21" t="s">
        <v>39</v>
      </c>
      <c r="E174" s="40" t="s">
        <v>40</v>
      </c>
      <c r="F174" s="17">
        <v>150</v>
      </c>
      <c r="G174" s="27">
        <f>F174*5.3/150</f>
        <v>5.3</v>
      </c>
      <c r="H174" s="27">
        <f>F174*3/150</f>
        <v>3</v>
      </c>
      <c r="I174" s="27">
        <f>F174*32.4/150</f>
        <v>32.4</v>
      </c>
      <c r="J174" s="27">
        <f>F174*178/150</f>
        <v>178</v>
      </c>
      <c r="K174" s="62" t="s">
        <v>95</v>
      </c>
      <c r="L174" s="75">
        <v>9.99</v>
      </c>
    </row>
    <row r="175" spans="1:12" ht="15.75">
      <c r="A175" s="18"/>
      <c r="B175" s="19"/>
      <c r="C175" s="20"/>
      <c r="D175" s="24" t="s">
        <v>26</v>
      </c>
      <c r="E175" s="54" t="s">
        <v>51</v>
      </c>
      <c r="F175" s="27">
        <v>200</v>
      </c>
      <c r="G175" s="27">
        <v>0</v>
      </c>
      <c r="H175" s="27">
        <v>0</v>
      </c>
      <c r="I175" s="27">
        <v>12</v>
      </c>
      <c r="J175" s="27">
        <v>48</v>
      </c>
      <c r="K175" s="81" t="s">
        <v>52</v>
      </c>
      <c r="L175" s="75">
        <v>13.09</v>
      </c>
    </row>
    <row r="176" spans="1:12" ht="15.75">
      <c r="A176" s="18"/>
      <c r="B176" s="19"/>
      <c r="C176" s="20"/>
      <c r="D176" s="24" t="s">
        <v>42</v>
      </c>
      <c r="E176" s="28" t="s">
        <v>43</v>
      </c>
      <c r="F176" s="27">
        <v>50</v>
      </c>
      <c r="G176" s="27">
        <f>SUM(F176*2.37/30)</f>
        <v>3.95</v>
      </c>
      <c r="H176" s="27">
        <f>SUM(F176*0.3/30)</f>
        <v>0.5</v>
      </c>
      <c r="I176" s="27">
        <f>SUM(F176*14.49/30)</f>
        <v>24.15</v>
      </c>
      <c r="J176" s="27">
        <f>SUM(F176*70.14/30)</f>
        <v>116.9</v>
      </c>
      <c r="K176" s="69" t="s">
        <v>30</v>
      </c>
      <c r="L176" s="75">
        <v>3.14</v>
      </c>
    </row>
    <row r="177" spans="1:12" ht="15.75">
      <c r="A177" s="18"/>
      <c r="B177" s="19"/>
      <c r="C177" s="20"/>
      <c r="D177" s="24" t="s">
        <v>44</v>
      </c>
      <c r="E177" s="40" t="s">
        <v>29</v>
      </c>
      <c r="F177" s="27">
        <v>30</v>
      </c>
      <c r="G177" s="27">
        <f>SUM(F177*1.68/30)</f>
        <v>1.68</v>
      </c>
      <c r="H177" s="27">
        <f>SUM(F177*0.33/30)</f>
        <v>0.33</v>
      </c>
      <c r="I177" s="27">
        <f>SUM(F177*14.82/30)</f>
        <v>14.82</v>
      </c>
      <c r="J177" s="27">
        <f>SUM(F177*68.97/30)</f>
        <v>68.97</v>
      </c>
      <c r="K177" s="69" t="s">
        <v>47</v>
      </c>
      <c r="L177" s="49">
        <v>1.51</v>
      </c>
    </row>
    <row r="178" spans="1:12" ht="15.75">
      <c r="A178" s="18"/>
      <c r="B178" s="19"/>
      <c r="C178" s="20"/>
      <c r="D178" s="21"/>
      <c r="E178" s="22"/>
      <c r="F178" s="49"/>
      <c r="G178" s="49"/>
      <c r="H178" s="49"/>
      <c r="I178" s="49"/>
      <c r="J178" s="49"/>
      <c r="K178" s="62"/>
      <c r="L178" s="49"/>
    </row>
    <row r="179" spans="1:12" ht="15.75" customHeight="1">
      <c r="A179" s="29"/>
      <c r="B179" s="30"/>
      <c r="C179" s="31"/>
      <c r="D179" s="32" t="s">
        <v>34</v>
      </c>
      <c r="E179" s="33"/>
      <c r="F179" s="35">
        <f>SUM(F173:F178)</f>
        <v>530</v>
      </c>
      <c r="G179" s="35">
        <f>SUM(G173:G178)</f>
        <v>22.529999999999998</v>
      </c>
      <c r="H179" s="35">
        <f>SUM(H173:H178)</f>
        <v>15.93</v>
      </c>
      <c r="I179" s="35">
        <f>SUM(I173:I178)</f>
        <v>94.57</v>
      </c>
      <c r="J179" s="35">
        <f>SUM(J173:J178)</f>
        <v>611.87</v>
      </c>
      <c r="K179" s="64"/>
      <c r="L179" s="35">
        <f>SUM(L173:L178)</f>
        <v>92</v>
      </c>
    </row>
    <row r="180" spans="1:12" ht="31.5">
      <c r="A180" s="36">
        <v>2</v>
      </c>
      <c r="B180" s="37">
        <v>5</v>
      </c>
      <c r="C180" s="38" t="s">
        <v>35</v>
      </c>
      <c r="D180" s="24" t="s">
        <v>36</v>
      </c>
      <c r="E180" s="96" t="s">
        <v>122</v>
      </c>
      <c r="F180" s="27">
        <v>60</v>
      </c>
      <c r="G180" s="27">
        <f>F180*0.77/60</f>
        <v>0.77</v>
      </c>
      <c r="H180" s="27">
        <f>F180*3.58/60</f>
        <v>3.58</v>
      </c>
      <c r="I180" s="27">
        <f>F180*3.6/60</f>
        <v>3.6</v>
      </c>
      <c r="J180" s="27">
        <f>F180*49.8/60</f>
        <v>49.8</v>
      </c>
      <c r="K180" s="101" t="s">
        <v>121</v>
      </c>
      <c r="L180" s="49">
        <v>7.54</v>
      </c>
    </row>
    <row r="181" spans="1:12" ht="31.5">
      <c r="A181" s="18"/>
      <c r="B181" s="19"/>
      <c r="C181" s="38"/>
      <c r="D181" s="24" t="s">
        <v>37</v>
      </c>
      <c r="E181" s="96" t="s">
        <v>136</v>
      </c>
      <c r="F181" s="78">
        <v>200</v>
      </c>
      <c r="G181" s="78">
        <f>F181*3.74/200</f>
        <v>3.74</v>
      </c>
      <c r="H181" s="78">
        <f>F181*6.42/200</f>
        <v>6.42</v>
      </c>
      <c r="I181" s="78">
        <f>F181*11.16/200</f>
        <v>11.16</v>
      </c>
      <c r="J181" s="78">
        <f>F181*117.6/200</f>
        <v>117.6</v>
      </c>
      <c r="K181" s="66" t="s">
        <v>96</v>
      </c>
      <c r="L181" s="49">
        <v>12.32</v>
      </c>
    </row>
    <row r="182" spans="1:12" ht="15.75">
      <c r="A182" s="18"/>
      <c r="B182" s="19"/>
      <c r="C182" s="20"/>
      <c r="D182" s="24" t="s">
        <v>38</v>
      </c>
      <c r="E182" s="39" t="s">
        <v>97</v>
      </c>
      <c r="F182" s="17">
        <v>90</v>
      </c>
      <c r="G182" s="27">
        <f>F182*11.68/90</f>
        <v>11.68</v>
      </c>
      <c r="H182" s="27">
        <f>F182*11.61/90</f>
        <v>11.609999999999998</v>
      </c>
      <c r="I182" s="27">
        <f>F182*5.76/90</f>
        <v>5.76</v>
      </c>
      <c r="J182" s="27">
        <f>F182*175/90</f>
        <v>175</v>
      </c>
      <c r="K182" s="102" t="s">
        <v>110</v>
      </c>
      <c r="L182" s="49">
        <v>63.95</v>
      </c>
    </row>
    <row r="183" spans="1:12" ht="15.75">
      <c r="A183" s="18"/>
      <c r="B183" s="19"/>
      <c r="C183" s="20"/>
      <c r="D183" s="24" t="s">
        <v>39</v>
      </c>
      <c r="E183" s="54" t="s">
        <v>99</v>
      </c>
      <c r="F183" s="78">
        <v>150</v>
      </c>
      <c r="G183" s="78">
        <f>F183*2.5/150</f>
        <v>2.5</v>
      </c>
      <c r="H183" s="78">
        <f>F183*4/150</f>
        <v>4</v>
      </c>
      <c r="I183" s="78">
        <f>F183*24.6/150</f>
        <v>24.6</v>
      </c>
      <c r="J183" s="78">
        <f>F183*144/150</f>
        <v>144</v>
      </c>
      <c r="K183" s="66" t="s">
        <v>100</v>
      </c>
      <c r="L183" s="49">
        <v>15.31</v>
      </c>
    </row>
    <row r="184" spans="1:12" ht="15.75">
      <c r="A184" s="18"/>
      <c r="B184" s="19"/>
      <c r="C184" s="20"/>
      <c r="D184" s="24" t="s">
        <v>130</v>
      </c>
      <c r="E184" s="26" t="s">
        <v>54</v>
      </c>
      <c r="F184" s="78">
        <v>200</v>
      </c>
      <c r="G184" s="78">
        <v>1</v>
      </c>
      <c r="H184" s="78">
        <v>0.1</v>
      </c>
      <c r="I184" s="78">
        <v>19.8</v>
      </c>
      <c r="J184" s="78">
        <v>84.1</v>
      </c>
      <c r="K184" s="66" t="s">
        <v>101</v>
      </c>
      <c r="L184" s="49">
        <v>6.66</v>
      </c>
    </row>
    <row r="185" spans="1:12" ht="15.75">
      <c r="A185" s="18"/>
      <c r="B185" s="19"/>
      <c r="C185" s="20"/>
      <c r="D185" s="24" t="s">
        <v>42</v>
      </c>
      <c r="E185" s="28" t="s">
        <v>43</v>
      </c>
      <c r="F185" s="27">
        <v>50</v>
      </c>
      <c r="G185" s="27">
        <f>SUM(F185*2.37/30)</f>
        <v>3.95</v>
      </c>
      <c r="H185" s="27">
        <f>SUM(F185*0.3/30)</f>
        <v>0.5</v>
      </c>
      <c r="I185" s="27">
        <f>SUM(F185*14.49/30)</f>
        <v>24.15</v>
      </c>
      <c r="J185" s="27">
        <f>SUM(F185*70.14/30)</f>
        <v>116.9</v>
      </c>
      <c r="K185" s="69" t="s">
        <v>30</v>
      </c>
      <c r="L185" s="49">
        <v>3.14</v>
      </c>
    </row>
    <row r="186" spans="1:12" ht="15.75">
      <c r="A186" s="18"/>
      <c r="B186" s="19"/>
      <c r="C186" s="20"/>
      <c r="D186" s="24" t="s">
        <v>44</v>
      </c>
      <c r="E186" s="40" t="s">
        <v>29</v>
      </c>
      <c r="F186" s="27">
        <v>30</v>
      </c>
      <c r="G186" s="27">
        <f>SUM(F186*1.68/30)</f>
        <v>1.68</v>
      </c>
      <c r="H186" s="27">
        <f>SUM(F186*0.33/30)</f>
        <v>0.33</v>
      </c>
      <c r="I186" s="27">
        <f>SUM(F186*14.82/30)</f>
        <v>14.82</v>
      </c>
      <c r="J186" s="27">
        <f>SUM(F186*68.97/30)</f>
        <v>68.97</v>
      </c>
      <c r="K186" s="69" t="s">
        <v>47</v>
      </c>
      <c r="L186" s="49">
        <v>2.08</v>
      </c>
    </row>
    <row r="187" spans="1:12" ht="15.75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75">
      <c r="A188" s="18"/>
      <c r="B188" s="19"/>
      <c r="C188" s="20"/>
      <c r="D188" s="21"/>
      <c r="E188" s="22"/>
      <c r="F188" s="78"/>
      <c r="G188" s="49"/>
      <c r="H188" s="49"/>
      <c r="I188" s="49"/>
      <c r="J188" s="49"/>
      <c r="K188" s="62"/>
      <c r="L188" s="49"/>
    </row>
    <row r="189" spans="1:12" ht="15.75">
      <c r="A189" s="29"/>
      <c r="B189" s="30"/>
      <c r="C189" s="31"/>
      <c r="D189" s="32" t="s">
        <v>34</v>
      </c>
      <c r="E189" s="33"/>
      <c r="F189" s="35">
        <f>SUM(F180:F188)</f>
        <v>780</v>
      </c>
      <c r="G189" s="35">
        <f>SUM(G180:G188)</f>
        <v>25.319999999999997</v>
      </c>
      <c r="H189" s="35">
        <f>SUM(H180:H188)</f>
        <v>26.54</v>
      </c>
      <c r="I189" s="35">
        <f>SUM(I180:I188)</f>
        <v>103.88999999999999</v>
      </c>
      <c r="J189" s="35">
        <f>SUM(J180:J188)</f>
        <v>756.37</v>
      </c>
      <c r="K189" s="79"/>
      <c r="L189" s="35">
        <f>SUM(L180:L188)</f>
        <v>111</v>
      </c>
    </row>
    <row r="190" spans="1:12" ht="15">
      <c r="A190" s="82">
        <v>2</v>
      </c>
      <c r="B190" s="83">
        <v>5</v>
      </c>
      <c r="C190" s="129" t="s">
        <v>45</v>
      </c>
      <c r="D190" s="130"/>
      <c r="E190" s="43"/>
      <c r="F190" s="52">
        <f>F179+F189</f>
        <v>1310</v>
      </c>
      <c r="G190" s="52">
        <f>G179+G189</f>
        <v>47.849999999999994</v>
      </c>
      <c r="H190" s="52">
        <f>H179+H189</f>
        <v>42.47</v>
      </c>
      <c r="I190" s="52">
        <f>I179+I189</f>
        <v>198.45999999999998</v>
      </c>
      <c r="J190" s="52">
        <f>J179+J189</f>
        <v>1368.24</v>
      </c>
      <c r="K190" s="52"/>
      <c r="L190" s="52">
        <f>L179+L189</f>
        <v>203</v>
      </c>
    </row>
    <row r="191" spans="1:12">
      <c r="A191" s="84"/>
      <c r="B191" s="85"/>
      <c r="C191" s="131" t="s">
        <v>102</v>
      </c>
      <c r="D191" s="131"/>
      <c r="E191" s="131"/>
      <c r="F191" s="86">
        <f>(F23+F42+F61+F80+F99+F117+F135+F154+F172+F190)/(IF(F23=0,0,1)+IF(F42=0,0,1)+IF(F61=0,0,1)+IF(F80=0,0,1)+IF(F99=0,0,1)+IF(F117=0,0,1)+IF(F135=0,0,1)+IF(F154=0,0,1)+IF(F172=0,0,1)+IF(F190=0,0,1))</f>
        <v>1317</v>
      </c>
      <c r="G191" s="86">
        <f>(G23+G42+G61+G80+G99+G117+G135+G154+G172+G190)/(IF(G23=0,0,1)+IF(G42=0,0,1)+IF(G61=0,0,1)+IF(G80=0,0,1)+IF(G99=0,0,1)+IF(G117=0,0,1)+IF(G135=0,0,1)+IF(G154=0,0,1)+IF(G172=0,0,1)+IF(G190=0,0,1))</f>
        <v>51.878377622377613</v>
      </c>
      <c r="H191" s="86">
        <f>(H23+H42+H61+H80+H99+H117+H135+H154+H172+H190)/(IF(H23=0,0,1)+IF(H42=0,0,1)+IF(H61=0,0,1)+IF(H80=0,0,1)+IF(H99=0,0,1)+IF(H117=0,0,1)+IF(H135=0,0,1)+IF(H154=0,0,1)+IF(H172=0,0,1)+IF(H190=0,0,1))</f>
        <v>48.292123076923076</v>
      </c>
      <c r="I191" s="86">
        <f>(I23+I42+I61+I80+I99+I117+I135+I154+I172+I190)/(IF(I23=0,0,1)+IF(I42=0,0,1)+IF(I61=0,0,1)+IF(I80=0,0,1)+IF(I99=0,0,1)+IF(I117=0,0,1)+IF(I135=0,0,1)+IF(I154=0,0,1)+IF(I172=0,0,1)+IF(I190=0,0,1))</f>
        <v>195.01082307692309</v>
      </c>
      <c r="J191" s="86">
        <f>(J23+J42+J61+J80+J99+J117+J135+J154+J172+J190)/(IF(J23=0,0,1)+IF(J42=0,0,1)+IF(J61=0,0,1)+IF(J80=0,0,1)+IF(J99=0,0,1)+IF(J117=0,0,1)+IF(J135=0,0,1)+IF(J154=0,0,1)+IF(J172=0,0,1)+IF(J190=0,0,1))</f>
        <v>1423.3112307692309</v>
      </c>
      <c r="K191" s="87"/>
      <c r="L191" s="86">
        <f>(L23+L42+L61+L80+L99+L117+L135+L154+L172+L190)/(IF(L23=0,0,1)+IF(L42=0,0,1)+IF(L61=0,0,1)+IF(L80=0,0,1)+IF(L99=0,0,1)+IF(L117=0,0,1)+IF(L135=0,0,1)+IF(L154=0,0,1)+IF(L172=0,0,1)+IF(L190=0,0,1))</f>
        <v>203</v>
      </c>
    </row>
    <row r="202" spans="5:13">
      <c r="E202" s="103"/>
      <c r="F202" s="103"/>
      <c r="G202" s="103"/>
      <c r="H202" s="103"/>
      <c r="I202" s="103"/>
      <c r="J202" s="103"/>
      <c r="K202" s="103"/>
      <c r="L202" s="103"/>
      <c r="M202" s="103"/>
    </row>
    <row r="203" spans="5:13" ht="15.75">
      <c r="E203" s="104"/>
      <c r="F203" s="105"/>
      <c r="G203" s="106"/>
      <c r="H203" s="106"/>
      <c r="I203" s="106"/>
      <c r="J203" s="106"/>
      <c r="K203" s="106"/>
      <c r="L203" s="107"/>
      <c r="M203" s="108"/>
    </row>
    <row r="204" spans="5:13" ht="15.75">
      <c r="E204" s="109"/>
      <c r="F204" s="110"/>
      <c r="G204" s="111"/>
      <c r="H204" s="111"/>
      <c r="I204" s="111"/>
      <c r="J204" s="111"/>
      <c r="K204" s="111"/>
      <c r="L204" s="107"/>
      <c r="M204" s="108"/>
    </row>
    <row r="205" spans="5:13" ht="15.75">
      <c r="E205" s="112"/>
      <c r="F205" s="106"/>
      <c r="G205" s="106"/>
      <c r="H205" s="106"/>
      <c r="I205" s="106"/>
      <c r="J205" s="106"/>
      <c r="K205" s="113"/>
      <c r="L205" s="103"/>
      <c r="M205" s="103"/>
    </row>
    <row r="206" spans="5:13" ht="15.75">
      <c r="E206" s="112"/>
      <c r="F206" s="106"/>
      <c r="G206" s="106"/>
      <c r="H206" s="106"/>
      <c r="I206" s="106"/>
      <c r="J206" s="106"/>
      <c r="K206" s="113"/>
      <c r="L206" s="103"/>
      <c r="M206" s="103"/>
    </row>
    <row r="207" spans="5:13" ht="15.75">
      <c r="E207" s="112"/>
      <c r="F207" s="106"/>
      <c r="G207" s="106"/>
      <c r="H207" s="106"/>
      <c r="I207" s="106"/>
      <c r="J207" s="106"/>
      <c r="K207" s="113"/>
      <c r="L207" s="103"/>
      <c r="M207" s="103"/>
    </row>
    <row r="208" spans="5:13" ht="15.75">
      <c r="E208" s="110"/>
      <c r="F208" s="106"/>
      <c r="G208" s="106"/>
      <c r="H208" s="106"/>
      <c r="I208" s="106"/>
      <c r="J208" s="106"/>
      <c r="K208" s="113"/>
      <c r="L208" s="103"/>
      <c r="M208" s="103"/>
    </row>
    <row r="209" spans="5:13" ht="15.75">
      <c r="E209" s="114"/>
      <c r="F209" s="115"/>
      <c r="G209" s="111"/>
      <c r="H209" s="111"/>
      <c r="I209" s="111"/>
      <c r="J209" s="111"/>
      <c r="K209" s="103"/>
      <c r="L209" s="103"/>
      <c r="M209" s="103"/>
    </row>
    <row r="210" spans="5:13" ht="15.75">
      <c r="E210" s="110"/>
      <c r="F210" s="111"/>
      <c r="G210" s="106"/>
      <c r="H210" s="106"/>
      <c r="I210" s="106"/>
      <c r="J210" s="106"/>
      <c r="K210" s="107"/>
      <c r="L210" s="103"/>
      <c r="M210" s="103"/>
    </row>
    <row r="211" spans="5:13" ht="15.75">
      <c r="E211" s="112"/>
      <c r="F211" s="106"/>
      <c r="G211" s="111"/>
      <c r="H211" s="111"/>
      <c r="I211" s="111"/>
      <c r="J211" s="111"/>
      <c r="K211" s="107"/>
      <c r="L211" s="103"/>
      <c r="M211" s="103"/>
    </row>
    <row r="212" spans="5:13" ht="15.75">
      <c r="E212" s="112"/>
      <c r="F212" s="106"/>
      <c r="G212" s="111"/>
      <c r="H212" s="111"/>
      <c r="I212" s="111"/>
      <c r="J212" s="111"/>
      <c r="K212" s="107"/>
      <c r="L212" s="103"/>
      <c r="M212" s="103"/>
    </row>
    <row r="213" spans="5:13" ht="15.75">
      <c r="E213" s="110"/>
      <c r="F213" s="106"/>
      <c r="G213" s="106"/>
      <c r="H213" s="106"/>
      <c r="I213" s="106"/>
      <c r="J213" s="111"/>
      <c r="K213" s="107"/>
      <c r="L213" s="103"/>
      <c r="M213" s="103"/>
    </row>
    <row r="214" spans="5:13" ht="15.75">
      <c r="E214" s="110"/>
      <c r="F214" s="106"/>
      <c r="G214" s="106"/>
      <c r="H214" s="106"/>
      <c r="I214" s="106"/>
      <c r="J214" s="106"/>
      <c r="K214" s="107"/>
      <c r="L214" s="103"/>
      <c r="M214" s="103"/>
    </row>
    <row r="215" spans="5:13" ht="15.75">
      <c r="E215" s="116"/>
      <c r="F215" s="106"/>
      <c r="G215" s="106"/>
      <c r="H215" s="106"/>
      <c r="I215" s="106"/>
      <c r="J215" s="106"/>
      <c r="K215" s="117"/>
      <c r="L215" s="103"/>
      <c r="M215" s="103"/>
    </row>
    <row r="216" spans="5:13" ht="15.75">
      <c r="E216" s="116"/>
      <c r="F216" s="106"/>
      <c r="G216" s="106"/>
      <c r="H216" s="106"/>
      <c r="I216" s="106"/>
      <c r="J216" s="106"/>
      <c r="K216" s="107"/>
      <c r="L216" s="103"/>
      <c r="M216" s="103"/>
    </row>
    <row r="217" spans="5:13" ht="15.75">
      <c r="E217" s="110"/>
      <c r="F217" s="111"/>
      <c r="G217" s="111"/>
      <c r="H217" s="111"/>
      <c r="I217" s="111"/>
      <c r="J217" s="111"/>
      <c r="K217" s="118"/>
      <c r="L217" s="103"/>
      <c r="M217" s="103"/>
    </row>
    <row r="218" spans="5:13">
      <c r="E218" s="103"/>
      <c r="F218" s="103"/>
      <c r="G218" s="103"/>
      <c r="H218" s="103"/>
      <c r="I218" s="103"/>
      <c r="J218" s="103"/>
      <c r="K218" s="103"/>
      <c r="L218" s="103"/>
      <c r="M218" s="103"/>
    </row>
    <row r="219" spans="5:13">
      <c r="E219" s="103"/>
      <c r="F219" s="103"/>
      <c r="G219" s="103"/>
      <c r="H219" s="103"/>
      <c r="I219" s="103"/>
      <c r="J219" s="103"/>
      <c r="K219" s="103"/>
      <c r="L219" s="103"/>
      <c r="M219" s="103"/>
    </row>
  </sheetData>
  <mergeCells count="14">
    <mergeCell ref="C154:D154"/>
    <mergeCell ref="C172:D172"/>
    <mergeCell ref="C190:D190"/>
    <mergeCell ref="C191:E191"/>
    <mergeCell ref="C61:D61"/>
    <mergeCell ref="C80:D80"/>
    <mergeCell ref="C99:D99"/>
    <mergeCell ref="C117:D117"/>
    <mergeCell ref="C135:D135"/>
    <mergeCell ref="C1:E1"/>
    <mergeCell ref="H1:K1"/>
    <mergeCell ref="H2:K2"/>
    <mergeCell ref="C23:D23"/>
    <mergeCell ref="C42:D4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9" max="16383" man="1"/>
    <brk id="11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2023-10-20T05:17:00Z</cp:lastPrinted>
  <dcterms:created xsi:type="dcterms:W3CDTF">2022-05-16T14:23:00Z</dcterms:created>
  <dcterms:modified xsi:type="dcterms:W3CDTF">2025-02-07T11:26:29Z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